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edge.noblis.org\Collaboration\DOD SERDP-ESTCP Support\SERDP\= Project Files\ER\18-1614\Terrestrial Ecological Risk Model User’s Man\"/>
    </mc:Choice>
  </mc:AlternateContent>
  <xr:revisionPtr revIDLastSave="0" documentId="8_{5AF886D7-2A2B-4082-96BC-76BC7415DE0E}" xr6:coauthVersionLast="47" xr6:coauthVersionMax="47" xr10:uidLastSave="{00000000-0000-0000-0000-000000000000}"/>
  <bookViews>
    <workbookView xWindow="5520" yWindow="-13680" windowWidth="17280" windowHeight="8970" tabRatio="894" xr2:uid="{8580DB1A-53B0-4AD3-93A0-A8E327842F82}"/>
  </bookViews>
  <sheets>
    <sheet name="Introduction" sheetId="70" r:id="rId1"/>
    <sheet name="TOC" sheetId="1" r:id="rId2"/>
    <sheet name="A&amp;A" sheetId="67" r:id="rId3"/>
    <sheet name="Exposure Factors" sheetId="6" r:id="rId4"/>
    <sheet name="BioaccumParams" sheetId="54" r:id="rId5"/>
    <sheet name="Data Input &amp; FWM" sheetId="55" r:id="rId6"/>
    <sheet name="EPCs" sheetId="10" r:id="rId7"/>
    <sheet name="TRVs_birds" sheetId="46" r:id="rId8"/>
    <sheet name="TRVs_mammals" sheetId="58" r:id="rId9"/>
    <sheet name="Direct Contact" sheetId="27" r:id="rId10"/>
    <sheet name="Bird1" sheetId="12" r:id="rId11"/>
    <sheet name="Bird2" sheetId="59" r:id="rId12"/>
    <sheet name="Bird3" sheetId="60" r:id="rId13"/>
    <sheet name="Mam1" sheetId="61" r:id="rId14"/>
    <sheet name="Mam2" sheetId="62" r:id="rId15"/>
    <sheet name="Mam3" sheetId="63" r:id="rId16"/>
    <sheet name="HQSum" sheetId="68" r:id="rId17"/>
    <sheet name="Figure1 - TDI" sheetId="48" r:id="rId18"/>
    <sheet name="INTERNAL --&gt;" sheetId="5" r:id="rId19"/>
    <sheet name="EF Lookup" sheetId="66" r:id="rId20"/>
    <sheet name="TDI Fig Data" sheetId="47" r:id="rId21"/>
    <sheet name="Nagy FIR variables" sheetId="65" r:id="rId22"/>
  </sheets>
  <definedNames>
    <definedName name="_Order1" hidden="1">255</definedName>
    <definedName name="_Order2" hidden="1">255</definedName>
    <definedName name="a_avian_galliformes_dw">'Nagy FIR variables'!$D$22</definedName>
    <definedName name="a_avian_insectivore_DW">'Nagy FIR variables'!$D$20</definedName>
    <definedName name="a_avian_insectivore_ww">'Nagy FIR variables'!$D$26</definedName>
    <definedName name="a_avian_omnivore_dw">'Nagy FIR variables'!$D$21</definedName>
    <definedName name="a_avian_omnivore_ww">'Nagy FIR variables'!$D$27</definedName>
    <definedName name="a_avian_passerines_dw">'Nagy FIR variables'!$D$23</definedName>
    <definedName name="a_avian_passerines_ww">'Nagy FIR variables'!$D$28</definedName>
    <definedName name="a_mamm_herbivore_dw">'Nagy FIR variables'!$D$7</definedName>
    <definedName name="a_mamm_herbivore_ww">'Nagy FIR variables'!$D$14</definedName>
    <definedName name="a_mamm_insectivore_dw">'Nagy FIR variables'!$D$4</definedName>
    <definedName name="a_mamm_insectivore_ww">'Nagy FIR variables'!$D$11</definedName>
    <definedName name="a_mamm_omnivore_dw">'Nagy FIR variables'!$D$5</definedName>
    <definedName name="a_mamm_omnivore_ww">'Nagy FIR variables'!$D$12</definedName>
    <definedName name="a_mamm_rodent_dw">'Nagy FIR variables'!$D$6</definedName>
    <definedName name="a_mamm_rodent_ww">'Nagy FIR variables'!$D$13</definedName>
    <definedName name="American_Robin_BW">'EF Lookup'!$G$4</definedName>
    <definedName name="American_Woodcock_BW">'EF Lookup'!$G$116</definedName>
    <definedName name="Area">'Exposure Factors'!$C$3</definedName>
    <definedName name="b_avian_galliformes_dw">'Nagy FIR variables'!$E$22</definedName>
    <definedName name="b_avian_insectivore_dw">'Nagy FIR variables'!$E$20</definedName>
    <definedName name="b_avian_insectivore_ww">'Nagy FIR variables'!$E$26</definedName>
    <definedName name="b_avian_omnivore_dw">'Nagy FIR variables'!$E$21</definedName>
    <definedName name="b_avian_omnivore_ww">'Nagy FIR variables'!$E$27</definedName>
    <definedName name="b_avian_passerines_dw">'Nagy FIR variables'!$E$23</definedName>
    <definedName name="b_avian_passerines_ww">'Nagy FIR variables'!$E$28</definedName>
    <definedName name="b_mamm_herbivore_dw">'Nagy FIR variables'!$E$7</definedName>
    <definedName name="b_mamm_herbivore_ww">'Nagy FIR variables'!$E$14</definedName>
    <definedName name="b_mamm_insectivore_dw">'Nagy FIR variables'!$E$4</definedName>
    <definedName name="b_mamm_insectivore_ww">'Nagy FIR variables'!$E$11</definedName>
    <definedName name="b_mamm_omnivore_dw">'Nagy FIR variables'!$E$5</definedName>
    <definedName name="b_mamm_omnivore_ww">'Nagy FIR variables'!$E$12</definedName>
    <definedName name="b_mamm_rodent_dw">'Nagy FIR variables'!$E$6</definedName>
    <definedName name="b_mamm_rodent_ww">'Nagy FIR variables'!$E$13</definedName>
    <definedName name="B1_AUF">'Exposure Factors'!$F$17</definedName>
    <definedName name="B1_bw">'Exposure Factors'!$F$10</definedName>
    <definedName name="B1_dwi">'Exposure Factors'!$F$18</definedName>
    <definedName name="B1_fir">'Exposure Factors'!$F$11</definedName>
    <definedName name="B1_FIRw">'Exposure Factors'!$F$12</definedName>
    <definedName name="B1_Pinv">'Exposure Factors'!$F$14</definedName>
    <definedName name="B1_Pso">'Exposure Factors'!$F$15</definedName>
    <definedName name="B1_Pveg">'Exposure Factors'!$F$13</definedName>
    <definedName name="B1_Pvert">'Exposure Factors'!#REF!</definedName>
    <definedName name="B2_AUF">'Exposure Factors'!$G$17</definedName>
    <definedName name="B2_bw">'Exposure Factors'!$G$10</definedName>
    <definedName name="B2_dwi">'Exposure Factors'!$G$18</definedName>
    <definedName name="B2_fir">'Exposure Factors'!$G$11</definedName>
    <definedName name="B2_FIRw">'Exposure Factors'!$G$12</definedName>
    <definedName name="B2_Pinv">'Exposure Factors'!$G$14</definedName>
    <definedName name="B2_Pso">'Exposure Factors'!$G$15</definedName>
    <definedName name="B2_Pveg">'Exposure Factors'!$G$13</definedName>
    <definedName name="B2_pvert">'Exposure Factors'!#REF!</definedName>
    <definedName name="B3_AUF">'Exposure Factors'!$H$17</definedName>
    <definedName name="B3_bw">'Exposure Factors'!$H$10</definedName>
    <definedName name="B3_dwi">'Exposure Factors'!$H$18</definedName>
    <definedName name="B3_fir">'Exposure Factors'!$H$11</definedName>
    <definedName name="B3_FIRw">'Exposure Factors'!$H$12</definedName>
    <definedName name="B3_Pinv">'Exposure Factors'!$H$14</definedName>
    <definedName name="B3_Pso">'Exposure Factors'!$H$15</definedName>
    <definedName name="B3_Pveg">'Exposure Factors'!$H$13</definedName>
    <definedName name="b3_pvert">'Exposure Factors'!#REF!</definedName>
    <definedName name="Bird1">'Exposure Factors'!$F$8</definedName>
    <definedName name="Bird2">'Exposure Factors'!$G$8</definedName>
    <definedName name="Bird3">'Exposure Factors'!$H$8</definedName>
    <definedName name="Buena_Vista_Lake_Shrew_BW">'EF Lookup'!$G$12</definedName>
    <definedName name="CF_kg_g">'Nagy FIR variables'!$G$4</definedName>
    <definedName name="Coastal_California_Gnatcatcher__BW">'EF Lookup'!$G$20</definedName>
    <definedName name="Deer_Mouse_BW">'EF Lookup'!$G$28</definedName>
    <definedName name="Eastern_Cottontail_BW">'EF Lookup'!$G$36</definedName>
    <definedName name="Florida_Scrub_Jay_BW">'EF Lookup'!$G$44</definedName>
    <definedName name="FOA">TOC!$C$5</definedName>
    <definedName name="Lapland_Longspur_BW">'EF Lookup'!$G$52</definedName>
    <definedName name="Mam_1">'Exposure Factors'!$I$8</definedName>
    <definedName name="Mam_2">'Exposure Factors'!$J$8</definedName>
    <definedName name="Mam_3">'Exposure Factors'!$K$8</definedName>
    <definedName name="Mam1_AUF">'Exposure Factors'!$I$17</definedName>
    <definedName name="Mam1_bw">'Exposure Factors'!$I$10</definedName>
    <definedName name="Mam1_dwi">'Exposure Factors'!$I$18</definedName>
    <definedName name="Mam1_fir">'Exposure Factors'!$I$11</definedName>
    <definedName name="Mam1_FIRw">'Exposure Factors'!$I$12</definedName>
    <definedName name="Mam1_HR">'Exposure Factors'!$I$16</definedName>
    <definedName name="Mam1_Pinv">'Exposure Factors'!$I$14</definedName>
    <definedName name="Mam1_Pso">'Exposure Factors'!$I$15</definedName>
    <definedName name="Mam1_Pveg">'Exposure Factors'!$I$13</definedName>
    <definedName name="Mam1_Pvert">'Exposure Factors'!#REF!</definedName>
    <definedName name="Mam2_AUF">'Exposure Factors'!$J$17</definedName>
    <definedName name="Mam2_BW">'Exposure Factors'!$J$10</definedName>
    <definedName name="Mam2_dwi">'Exposure Factors'!$J$18</definedName>
    <definedName name="Mam2_fir">'Exposure Factors'!$J$11</definedName>
    <definedName name="Mam2_FIRw">'Exposure Factors'!$J$12</definedName>
    <definedName name="Mam2_HR">'Exposure Factors'!$J$16</definedName>
    <definedName name="Mam2_Pinv">'Exposure Factors'!$J$14</definedName>
    <definedName name="Mam2_Pso">'Exposure Factors'!$J$15</definedName>
    <definedName name="Mam2_Pveg">'Exposure Factors'!$J$13</definedName>
    <definedName name="Mam2_Pvert">'Exposure Factors'!#REF!</definedName>
    <definedName name="Mam3_AUF">'Exposure Factors'!$K$17</definedName>
    <definedName name="mam3_bw">'Exposure Factors'!$K$10</definedName>
    <definedName name="Mam3_dwi">'Exposure Factors'!$K$18</definedName>
    <definedName name="Mam3_fir">'Exposure Factors'!$K$11</definedName>
    <definedName name="Mam3_FIRw">'Exposure Factors'!$K$12</definedName>
    <definedName name="Mam3_HR">'Exposure Factors'!$K$16</definedName>
    <definedName name="Mam3_Pinv">'Exposure Factors'!$K$14</definedName>
    <definedName name="Mam3_Pso">'Exposure Factors'!$K$15</definedName>
    <definedName name="Mam3_Pveg">'Exposure Factors'!$K$13</definedName>
    <definedName name="Mam3_Pvert">'Exposure Factors'!#REF!</definedName>
    <definedName name="Masked_Bobwhite_Quail_BW">'EF Lookup'!$G$60</definedName>
    <definedName name="Meadow_Vole_BW">'EF Lookup'!$G$68</definedName>
    <definedName name="Northern_Bobwhite_Quail_BW">'EF Lookup'!$G$76</definedName>
    <definedName name="P_OC">'Data Input &amp; FWM'!$G$4</definedName>
    <definedName name="P_PFDA">'Data Input &amp; FWM'!$I$15</definedName>
    <definedName name="_xlnm.Print_Area" localSheetId="4">BioaccumParams!$A$1:$F$42</definedName>
    <definedName name="_xlnm.Print_Area" localSheetId="10">Bird1!$A$1:$T$60</definedName>
    <definedName name="_xlnm.Print_Area" localSheetId="11">Bird2!$A$1:$T$60</definedName>
    <definedName name="_xlnm.Print_Area" localSheetId="12">Bird3!$A$1:$T$60</definedName>
    <definedName name="_xlnm.Print_Area" localSheetId="5">'Data Input &amp; FWM'!$A$1:$J$40</definedName>
    <definedName name="_xlnm.Print_Area" localSheetId="19">'EF Lookup'!$A$1:$J$123</definedName>
    <definedName name="_xlnm.Print_Area" localSheetId="6">EPCs!$A$1:$H$37</definedName>
    <definedName name="_xlnm.Print_Area" localSheetId="3">'Exposure Factors'!$A$1:$K$30</definedName>
    <definedName name="_xlnm.Print_Area" localSheetId="16">HQSum!$A$1:$U$33</definedName>
    <definedName name="_xlnm.Print_Area" localSheetId="0">Introduction!$A$1:$H$55</definedName>
    <definedName name="_xlnm.Print_Area" localSheetId="13">'Mam1'!$A$1:$T$60</definedName>
    <definedName name="_xlnm.Print_Area" localSheetId="14">'Mam2'!$A$1:$T$60</definedName>
    <definedName name="_xlnm.Print_Area" localSheetId="15">'Mam3'!$A$1:$T$60</definedName>
    <definedName name="_xlnm.Print_Area" localSheetId="21">'Nagy FIR variables'!$A$1:$O$28</definedName>
    <definedName name="_xlnm.Print_Area" localSheetId="7">TRVs_birds!$A$1:$K$33</definedName>
    <definedName name="_xlnm.Print_Area" localSheetId="8">TRVs_mammals!$A$1:$K$33</definedName>
    <definedName name="_xlnm.Print_Titles" localSheetId="19">'EF Lookup'!$3:$3</definedName>
    <definedName name="_xlnm.Print_Titles" localSheetId="6">EPCs!$B:$B</definedName>
    <definedName name="Pungo_White_Footed_Deermouse_BW">'EF Lookup'!$G$84</definedName>
    <definedName name="S_NEtFOSAA">'Data Input &amp; FWM'!$C$28</definedName>
    <definedName name="S_NMeFOSAA">'Data Input &amp; FWM'!$C$29</definedName>
    <definedName name="S_PFBA">'Data Input &amp; FWM'!$C$9</definedName>
    <definedName name="S_PFBS">'Data Input &amp; FWM'!$C$21</definedName>
    <definedName name="S_PFDA">'Data Input &amp; FWM'!$C$15</definedName>
    <definedName name="S_PFDoDA">'Data Input &amp; FWM'!$C$17</definedName>
    <definedName name="S_PFDS">'Data Input &amp; FWM'!$C$24</definedName>
    <definedName name="S_PFHpA">'Data Input &amp; FWM'!$C$12</definedName>
    <definedName name="S_PFHxA">'Data Input &amp; FWM'!$C$11</definedName>
    <definedName name="S_PFHxS">'Data Input &amp; FWM'!$C$22</definedName>
    <definedName name="S_PFNA">'Data Input &amp; FWM'!$C$14</definedName>
    <definedName name="S_PFOA">'Data Input &amp; FWM'!$C$13</definedName>
    <definedName name="S_PFOS">'Data Input &amp; FWM'!$C$23</definedName>
    <definedName name="S_PFOSA">'Data Input &amp; FWM'!$C$26</definedName>
    <definedName name="S_PFPeA">'Data Input &amp; FWM'!$C$10</definedName>
    <definedName name="S_PFTeDA">'Data Input &amp; FWM'!$C$19</definedName>
    <definedName name="S_PFTrDA">'Data Input &amp; FWM'!$C$18</definedName>
    <definedName name="S_PFUnDA">'Data Input &amp; FWM'!$C$16</definedName>
    <definedName name="Short_Tailed_Shrew_BW">'EF Lookup'!$G$92</definedName>
    <definedName name="Site">TOC!$B$2</definedName>
    <definedName name="surface_water">'Exposure Factors'!$I$4</definedName>
    <definedName name="Title1">TOC!$B$5</definedName>
    <definedName name="Title10">TOC!$B$14</definedName>
    <definedName name="Title11">TOC!$B$15</definedName>
    <definedName name="Title12">TOC!$B$16</definedName>
    <definedName name="Title13">TOC!$B$17</definedName>
    <definedName name="Title14">TOC!$B$18</definedName>
    <definedName name="Title2">TOC!$B$6</definedName>
    <definedName name="Title3">TOC!$B$7</definedName>
    <definedName name="Title4">TOC!$B$8</definedName>
    <definedName name="Title5">TOC!$B$11</definedName>
    <definedName name="Title6">TOC!$B$9</definedName>
    <definedName name="Title7">TOC!$B$10</definedName>
    <definedName name="Title8">TOC!$B$12</definedName>
    <definedName name="Title9">TOC!$B$13</definedName>
    <definedName name="W_NEtFOSAA">'Data Input &amp; FWM'!$I$28</definedName>
    <definedName name="W_NMeFOSAA">'Data Input &amp; FWM'!$I$29</definedName>
    <definedName name="W_PFBA">'Data Input &amp; FWM'!$I$9</definedName>
    <definedName name="W_PFBS">'Data Input &amp; FWM'!$I$21</definedName>
    <definedName name="W_PFDA">'Data Input &amp; FWM'!$I$15</definedName>
    <definedName name="W_PFDoDA">'Data Input &amp; FWM'!$I$17</definedName>
    <definedName name="W_PFDS">'Data Input &amp; FWM'!$I$24</definedName>
    <definedName name="W_PFHpA">'Data Input &amp; FWM'!$I$12</definedName>
    <definedName name="W_PFHxA">'Data Input &amp; FWM'!$I$11</definedName>
    <definedName name="W_PFHxS">'Data Input &amp; FWM'!$I$22</definedName>
    <definedName name="W_PFNA">'Data Input &amp; FWM'!$I$14</definedName>
    <definedName name="W_PFOA">'Data Input &amp; FWM'!$I$13</definedName>
    <definedName name="W_PFOS">'Data Input &amp; FWM'!$I$23</definedName>
    <definedName name="W_PFOSA">'Data Input &amp; FWM'!$I$26</definedName>
    <definedName name="W_PFPeA">'Data Input &amp; FWM'!$I$10</definedName>
    <definedName name="W_PFTeDA">'Data Input &amp; FWM'!$I$19</definedName>
    <definedName name="W_PFTrDA">'Data Input &amp; FWM'!$I$18</definedName>
    <definedName name="W_PFUnDA">'Data Input &amp; FWM'!$I$16</definedName>
    <definedName name="Western_Pocket_Gopher_BW">'EF Lookup'!$G$100</definedName>
    <definedName name="Willow_Ptarmigan_BW">'EF Lookup'!$G$108</definedName>
    <definedName name="wrn.report." hidden="1">{#N/A,#N/A,FALSE,"AB7 REPORT";#N/A,#N/A,FALSE,"AB6 REPORT"}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8" i="68" l="1"/>
  <c r="T22" i="68"/>
  <c r="P17" i="68"/>
  <c r="O17" i="68"/>
  <c r="C9" i="68"/>
  <c r="D9" i="68"/>
  <c r="E9" i="68"/>
  <c r="F9" i="68"/>
  <c r="G9" i="68"/>
  <c r="H9" i="68"/>
  <c r="I9" i="68"/>
  <c r="J9" i="68"/>
  <c r="K9" i="68"/>
  <c r="L9" i="68"/>
  <c r="M9" i="68"/>
  <c r="N9" i="68"/>
  <c r="O9" i="68"/>
  <c r="P9" i="68"/>
  <c r="Q9" i="68"/>
  <c r="R9" i="68"/>
  <c r="S9" i="68"/>
  <c r="L15" i="68"/>
  <c r="C12" i="27" l="1"/>
  <c r="F12" i="27" s="1"/>
  <c r="C10" i="27"/>
  <c r="I10" i="27" s="1"/>
  <c r="I28" i="27"/>
  <c r="I27" i="27"/>
  <c r="I25" i="27"/>
  <c r="I23" i="27"/>
  <c r="I22" i="27"/>
  <c r="I21" i="27"/>
  <c r="I20" i="27"/>
  <c r="I18" i="27"/>
  <c r="I17" i="27"/>
  <c r="I16" i="27"/>
  <c r="I11" i="27"/>
  <c r="I9" i="27"/>
  <c r="I8" i="27"/>
  <c r="F28" i="27"/>
  <c r="F27" i="27"/>
  <c r="F25" i="27"/>
  <c r="F23" i="27"/>
  <c r="F22" i="27"/>
  <c r="F21" i="27"/>
  <c r="F20" i="27"/>
  <c r="F9" i="27"/>
  <c r="F11" i="27"/>
  <c r="F16" i="27"/>
  <c r="F17" i="27"/>
  <c r="F18" i="27"/>
  <c r="F8" i="27"/>
  <c r="I12" i="27" l="1"/>
  <c r="F10" i="27"/>
  <c r="F27" i="58"/>
  <c r="O19" i="12"/>
  <c r="G28" i="10" l="1"/>
  <c r="G27" i="10"/>
  <c r="G25" i="10"/>
  <c r="G23" i="10"/>
  <c r="G22" i="10"/>
  <c r="G21" i="10"/>
  <c r="G20" i="10"/>
  <c r="G9" i="10"/>
  <c r="G11" i="10"/>
  <c r="G16" i="10"/>
  <c r="G17" i="10"/>
  <c r="G18" i="10"/>
  <c r="G8" i="10"/>
  <c r="E28" i="10"/>
  <c r="E27" i="10"/>
  <c r="E25" i="10"/>
  <c r="E23" i="10"/>
  <c r="E22" i="10"/>
  <c r="E21" i="10"/>
  <c r="E20" i="10"/>
  <c r="E9" i="10"/>
  <c r="E11" i="10"/>
  <c r="E16" i="10"/>
  <c r="E17" i="10"/>
  <c r="E18" i="10"/>
  <c r="E8" i="10"/>
  <c r="F12" i="55" l="1"/>
  <c r="G16" i="59" l="1"/>
  <c r="G15" i="59"/>
  <c r="G86" i="66" l="1"/>
  <c r="B41" i="54" l="1"/>
  <c r="G112" i="66" l="1"/>
  <c r="G60" i="66"/>
  <c r="G117" i="66"/>
  <c r="G42" i="66"/>
  <c r="G119" i="66" l="1"/>
  <c r="G118" i="66"/>
  <c r="F123" i="66"/>
  <c r="F122" i="66"/>
  <c r="F121" i="66"/>
  <c r="F120" i="66"/>
  <c r="F119" i="66"/>
  <c r="F118" i="66"/>
  <c r="F117" i="66"/>
  <c r="F116" i="66"/>
  <c r="B40" i="54" l="1"/>
  <c r="B39" i="54"/>
  <c r="F19" i="54"/>
  <c r="F18" i="54"/>
  <c r="D19" i="54"/>
  <c r="D18" i="54"/>
  <c r="F26" i="54"/>
  <c r="F29" i="54"/>
  <c r="D29" i="54"/>
  <c r="D28" i="54"/>
  <c r="G13" i="66" l="1"/>
  <c r="G111" i="66" l="1"/>
  <c r="G110" i="66"/>
  <c r="G103" i="66"/>
  <c r="G102" i="66"/>
  <c r="G95" i="66"/>
  <c r="G94" i="66"/>
  <c r="G87" i="66"/>
  <c r="G79" i="66"/>
  <c r="G78" i="66"/>
  <c r="G71" i="66"/>
  <c r="G70" i="66"/>
  <c r="G63" i="66"/>
  <c r="G62" i="66"/>
  <c r="G55" i="66"/>
  <c r="G54" i="66"/>
  <c r="G47" i="66"/>
  <c r="G46" i="66"/>
  <c r="G39" i="66"/>
  <c r="G38" i="66"/>
  <c r="G31" i="66"/>
  <c r="G30" i="66"/>
  <c r="G23" i="66"/>
  <c r="G22" i="66"/>
  <c r="G15" i="66"/>
  <c r="G14" i="66"/>
  <c r="G7" i="66"/>
  <c r="G6" i="66"/>
  <c r="F4" i="66" l="1"/>
  <c r="F5" i="66"/>
  <c r="F6" i="66"/>
  <c r="F7" i="66"/>
  <c r="F8" i="66"/>
  <c r="F9" i="66"/>
  <c r="F10" i="66"/>
  <c r="F11" i="66"/>
  <c r="F12" i="66"/>
  <c r="F13" i="66"/>
  <c r="F14" i="66"/>
  <c r="F15" i="66"/>
  <c r="F16" i="66"/>
  <c r="F17" i="66"/>
  <c r="F18" i="66"/>
  <c r="F19" i="66"/>
  <c r="F20" i="66"/>
  <c r="F21" i="66"/>
  <c r="F22" i="66"/>
  <c r="F23" i="66"/>
  <c r="F24" i="66"/>
  <c r="F25" i="66"/>
  <c r="F26" i="66"/>
  <c r="F27" i="66"/>
  <c r="F28" i="66"/>
  <c r="F29" i="66"/>
  <c r="F30" i="66"/>
  <c r="F31" i="66"/>
  <c r="F32" i="66"/>
  <c r="F33" i="66"/>
  <c r="F34" i="66"/>
  <c r="F35" i="66"/>
  <c r="F36" i="66"/>
  <c r="F37" i="66"/>
  <c r="F38" i="66"/>
  <c r="F39" i="66"/>
  <c r="F40" i="66"/>
  <c r="F41" i="66"/>
  <c r="F42" i="66"/>
  <c r="F43" i="66"/>
  <c r="F44" i="66"/>
  <c r="F45" i="66"/>
  <c r="F46" i="66"/>
  <c r="F47" i="66"/>
  <c r="F48" i="66"/>
  <c r="F49" i="66"/>
  <c r="F50" i="66"/>
  <c r="F51" i="66"/>
  <c r="F52" i="66"/>
  <c r="F53" i="66"/>
  <c r="F54" i="66"/>
  <c r="F55" i="66"/>
  <c r="F56" i="66"/>
  <c r="F57" i="66"/>
  <c r="F58" i="66"/>
  <c r="F59" i="66"/>
  <c r="F60" i="66"/>
  <c r="F61" i="66"/>
  <c r="F62" i="66"/>
  <c r="F63" i="66"/>
  <c r="F64" i="66"/>
  <c r="F65" i="66"/>
  <c r="F66" i="66"/>
  <c r="F67" i="66"/>
  <c r="F68" i="66"/>
  <c r="F69" i="66"/>
  <c r="F70" i="66"/>
  <c r="F71" i="66"/>
  <c r="F72" i="66"/>
  <c r="F73" i="66"/>
  <c r="F74" i="66"/>
  <c r="F75" i="66"/>
  <c r="F76" i="66"/>
  <c r="F77" i="66"/>
  <c r="F78" i="66"/>
  <c r="F79" i="66"/>
  <c r="F80" i="66"/>
  <c r="F81" i="66"/>
  <c r="F82" i="66"/>
  <c r="F83" i="66"/>
  <c r="F84" i="66"/>
  <c r="F85" i="66"/>
  <c r="F86" i="66"/>
  <c r="F87" i="66"/>
  <c r="F88" i="66"/>
  <c r="F89" i="66"/>
  <c r="F90" i="66"/>
  <c r="F91" i="66"/>
  <c r="F92" i="66"/>
  <c r="F93" i="66"/>
  <c r="F94" i="66"/>
  <c r="F95" i="66"/>
  <c r="F96" i="66"/>
  <c r="F97" i="66"/>
  <c r="F98" i="66"/>
  <c r="F99" i="66"/>
  <c r="F100" i="66"/>
  <c r="F101" i="66"/>
  <c r="F102" i="66"/>
  <c r="F103" i="66"/>
  <c r="F104" i="66"/>
  <c r="F105" i="66"/>
  <c r="F106" i="66"/>
  <c r="F107" i="66"/>
  <c r="F108" i="66"/>
  <c r="F109" i="66"/>
  <c r="F110" i="66"/>
  <c r="F111" i="66"/>
  <c r="F112" i="66"/>
  <c r="F113" i="66"/>
  <c r="F114" i="66"/>
  <c r="F115" i="66"/>
  <c r="F124" i="66"/>
  <c r="F125" i="66"/>
  <c r="F126" i="66"/>
  <c r="F127" i="66"/>
  <c r="F128" i="66"/>
  <c r="F129" i="66"/>
  <c r="F130" i="66"/>
  <c r="F131" i="66"/>
  <c r="F132" i="66"/>
  <c r="F133" i="66"/>
  <c r="F134" i="66"/>
  <c r="F135" i="66"/>
  <c r="F136" i="66"/>
  <c r="F137" i="66"/>
  <c r="F138" i="66"/>
  <c r="F139" i="66"/>
  <c r="F140" i="66"/>
  <c r="F141" i="66"/>
  <c r="F142" i="66"/>
  <c r="F143" i="66"/>
  <c r="F144" i="66"/>
  <c r="F145" i="66"/>
  <c r="F146" i="66"/>
  <c r="F147" i="66"/>
  <c r="F148" i="66"/>
  <c r="F149" i="66"/>
  <c r="F150" i="66"/>
  <c r="F151" i="66"/>
  <c r="F152" i="66"/>
  <c r="F153" i="66"/>
  <c r="F154" i="66"/>
  <c r="F155" i="66"/>
  <c r="F156" i="66"/>
  <c r="F157" i="66"/>
  <c r="F158" i="66"/>
  <c r="F159" i="66"/>
  <c r="F160" i="66"/>
  <c r="F161" i="66"/>
  <c r="F162" i="66"/>
  <c r="F163" i="66"/>
  <c r="F164" i="66"/>
  <c r="F165" i="66"/>
  <c r="F166" i="66"/>
  <c r="F167" i="66"/>
  <c r="F168" i="66"/>
  <c r="F169" i="66"/>
  <c r="F170" i="66"/>
  <c r="F171" i="66"/>
  <c r="F172" i="66"/>
  <c r="F173" i="66"/>
  <c r="F174" i="66"/>
  <c r="F175" i="66"/>
  <c r="F176" i="66"/>
  <c r="F177" i="66"/>
  <c r="F178" i="66"/>
  <c r="F179" i="66"/>
  <c r="F180" i="66"/>
  <c r="F181" i="66"/>
  <c r="F182" i="66"/>
  <c r="F183" i="66"/>
  <c r="F184" i="66"/>
  <c r="F185" i="66"/>
  <c r="F186" i="66"/>
  <c r="F187" i="66"/>
  <c r="F188" i="66"/>
  <c r="F189" i="66"/>
  <c r="F190" i="66"/>
  <c r="F191" i="66"/>
  <c r="F192" i="66"/>
  <c r="F193" i="66"/>
  <c r="G109" i="66"/>
  <c r="G101" i="66"/>
  <c r="G93" i="66"/>
  <c r="G85" i="66"/>
  <c r="G77" i="66"/>
  <c r="G69" i="66"/>
  <c r="G61" i="66"/>
  <c r="G53" i="66"/>
  <c r="G45" i="66"/>
  <c r="G37" i="66"/>
  <c r="G29" i="66"/>
  <c r="G21" i="66"/>
  <c r="G5" i="66"/>
  <c r="C19" i="54" l="1"/>
  <c r="C18" i="54"/>
  <c r="E19" i="54" l="1"/>
  <c r="E9" i="54"/>
  <c r="C28" i="54"/>
  <c r="F9" i="54"/>
  <c r="E18" i="54"/>
  <c r="H9" i="55" l="1"/>
  <c r="H19" i="55"/>
  <c r="H18" i="55"/>
  <c r="F18" i="55"/>
  <c r="F19" i="55"/>
  <c r="C10" i="10"/>
  <c r="C11" i="10"/>
  <c r="C12" i="10"/>
  <c r="C13" i="10"/>
  <c r="C14" i="10"/>
  <c r="C15" i="10"/>
  <c r="C16" i="10"/>
  <c r="C17" i="10"/>
  <c r="C18" i="10"/>
  <c r="H28" i="55"/>
  <c r="H24" i="55"/>
  <c r="H23" i="55"/>
  <c r="H22" i="55"/>
  <c r="H21" i="55"/>
  <c r="H10" i="55"/>
  <c r="H11" i="55"/>
  <c r="H12" i="55"/>
  <c r="H13" i="55"/>
  <c r="H14" i="55"/>
  <c r="H15" i="55"/>
  <c r="H16" i="55"/>
  <c r="H17" i="55"/>
  <c r="F26" i="55"/>
  <c r="F24" i="55"/>
  <c r="F23" i="55"/>
  <c r="F22" i="55"/>
  <c r="F21" i="55"/>
  <c r="F10" i="55"/>
  <c r="F11" i="55"/>
  <c r="F13" i="55"/>
  <c r="F14" i="55"/>
  <c r="F15" i="55"/>
  <c r="F16" i="55"/>
  <c r="F17" i="55"/>
  <c r="F9" i="55"/>
  <c r="E29" i="54" l="1"/>
  <c r="H29" i="55" s="1"/>
  <c r="E26" i="54"/>
  <c r="H26" i="55" s="1"/>
  <c r="C29" i="54"/>
  <c r="F29" i="55" s="1"/>
  <c r="F28" i="55"/>
  <c r="H8" i="10" l="1"/>
  <c r="H9" i="10"/>
  <c r="H10" i="10"/>
  <c r="H11" i="10"/>
  <c r="H12" i="10"/>
  <c r="H13" i="10"/>
  <c r="H14" i="10"/>
  <c r="H15" i="10"/>
  <c r="H16" i="10"/>
  <c r="H17" i="10"/>
  <c r="H18" i="10"/>
  <c r="H20" i="10"/>
  <c r="H21" i="10"/>
  <c r="H22" i="10"/>
  <c r="H23" i="10"/>
  <c r="H25" i="10"/>
  <c r="H27" i="10"/>
  <c r="H28" i="10"/>
  <c r="R30" i="61"/>
  <c r="R29" i="61"/>
  <c r="R27" i="61"/>
  <c r="R25" i="61"/>
  <c r="R24" i="61"/>
  <c r="R23" i="61"/>
  <c r="R22" i="61"/>
  <c r="R10" i="61"/>
  <c r="R12" i="61"/>
  <c r="R13" i="61"/>
  <c r="R14" i="61"/>
  <c r="R15" i="61"/>
  <c r="R16" i="61"/>
  <c r="R17" i="61"/>
  <c r="R18" i="61"/>
  <c r="R19" i="61"/>
  <c r="R20" i="61"/>
  <c r="R11" i="61"/>
  <c r="R30" i="62"/>
  <c r="R29" i="62"/>
  <c r="R27" i="62"/>
  <c r="R25" i="62"/>
  <c r="R24" i="62"/>
  <c r="R23" i="62"/>
  <c r="R22" i="62"/>
  <c r="R11" i="62"/>
  <c r="R12" i="62"/>
  <c r="R13" i="62"/>
  <c r="R14" i="62"/>
  <c r="R15" i="62"/>
  <c r="R16" i="62"/>
  <c r="R17" i="62"/>
  <c r="R18" i="62"/>
  <c r="R19" i="62"/>
  <c r="R20" i="62"/>
  <c r="R10" i="62"/>
  <c r="R11" i="63"/>
  <c r="R12" i="63"/>
  <c r="R13" i="63"/>
  <c r="R14" i="63"/>
  <c r="R15" i="63"/>
  <c r="R16" i="63"/>
  <c r="R17" i="63"/>
  <c r="R18" i="63"/>
  <c r="R19" i="63"/>
  <c r="R20" i="63"/>
  <c r="R22" i="63"/>
  <c r="R23" i="63"/>
  <c r="R24" i="63"/>
  <c r="R25" i="63"/>
  <c r="R27" i="63"/>
  <c r="R29" i="63"/>
  <c r="R30" i="63"/>
  <c r="R10" i="63"/>
  <c r="F10" i="12"/>
  <c r="D30" i="63" l="1"/>
  <c r="D29" i="63"/>
  <c r="D27" i="63"/>
  <c r="D25" i="63"/>
  <c r="D24" i="63"/>
  <c r="D23" i="63"/>
  <c r="D22" i="63"/>
  <c r="D20" i="63"/>
  <c r="D19" i="63"/>
  <c r="D18" i="63"/>
  <c r="D17" i="63"/>
  <c r="D16" i="63"/>
  <c r="D15" i="63"/>
  <c r="D14" i="63"/>
  <c r="D13" i="63"/>
  <c r="D12" i="63"/>
  <c r="D11" i="63"/>
  <c r="D10" i="63"/>
  <c r="D30" i="62"/>
  <c r="D29" i="62"/>
  <c r="D27" i="62"/>
  <c r="D25" i="62"/>
  <c r="D24" i="62"/>
  <c r="D23" i="62"/>
  <c r="D22" i="62"/>
  <c r="D20" i="62"/>
  <c r="D19" i="62"/>
  <c r="D18" i="62"/>
  <c r="D17" i="62"/>
  <c r="D16" i="62"/>
  <c r="D15" i="62"/>
  <c r="D14" i="62"/>
  <c r="D13" i="62"/>
  <c r="D12" i="62"/>
  <c r="D11" i="62"/>
  <c r="D10" i="62"/>
  <c r="D30" i="61"/>
  <c r="D29" i="61"/>
  <c r="D27" i="61"/>
  <c r="D25" i="61"/>
  <c r="D24" i="61"/>
  <c r="D23" i="61"/>
  <c r="D22" i="61"/>
  <c r="D20" i="61"/>
  <c r="D19" i="61"/>
  <c r="D18" i="61"/>
  <c r="D17" i="61"/>
  <c r="D16" i="61"/>
  <c r="D15" i="61"/>
  <c r="D14" i="61"/>
  <c r="D13" i="61"/>
  <c r="D12" i="61"/>
  <c r="D11" i="61"/>
  <c r="D10" i="61"/>
  <c r="D30" i="60"/>
  <c r="D29" i="60"/>
  <c r="D27" i="60"/>
  <c r="D25" i="60"/>
  <c r="D24" i="60"/>
  <c r="D23" i="60"/>
  <c r="D22" i="60"/>
  <c r="D20" i="60"/>
  <c r="D19" i="60"/>
  <c r="D18" i="60"/>
  <c r="D17" i="60"/>
  <c r="D16" i="60"/>
  <c r="D15" i="60"/>
  <c r="D14" i="60"/>
  <c r="D13" i="60"/>
  <c r="D12" i="60"/>
  <c r="D11" i="60"/>
  <c r="D10" i="60"/>
  <c r="D30" i="59"/>
  <c r="D29" i="59"/>
  <c r="D27" i="59"/>
  <c r="D25" i="59"/>
  <c r="D24" i="59"/>
  <c r="D23" i="59"/>
  <c r="D22" i="59"/>
  <c r="D20" i="59"/>
  <c r="D19" i="59"/>
  <c r="D18" i="59"/>
  <c r="D17" i="59"/>
  <c r="D16" i="59"/>
  <c r="D15" i="59"/>
  <c r="D14" i="59"/>
  <c r="D13" i="59"/>
  <c r="D12" i="59"/>
  <c r="D11" i="59"/>
  <c r="D10" i="59"/>
  <c r="D30" i="12" l="1"/>
  <c r="D29" i="12"/>
  <c r="D27" i="12"/>
  <c r="D25" i="12"/>
  <c r="D24" i="12"/>
  <c r="D23" i="12"/>
  <c r="D22" i="12"/>
  <c r="D20" i="12"/>
  <c r="D19" i="12"/>
  <c r="D18" i="12"/>
  <c r="D17" i="12"/>
  <c r="D16" i="12"/>
  <c r="D15" i="12"/>
  <c r="D14" i="12"/>
  <c r="D13" i="12"/>
  <c r="D12" i="12"/>
  <c r="D11" i="12"/>
  <c r="D10" i="12"/>
  <c r="F30" i="63"/>
  <c r="F29" i="63"/>
  <c r="F27" i="63"/>
  <c r="F25" i="63"/>
  <c r="F24" i="63"/>
  <c r="F23" i="63"/>
  <c r="F22" i="63"/>
  <c r="F20" i="63"/>
  <c r="F19" i="63"/>
  <c r="F18" i="63"/>
  <c r="F17" i="63"/>
  <c r="F16" i="63"/>
  <c r="F15" i="63"/>
  <c r="F14" i="63"/>
  <c r="F13" i="63"/>
  <c r="F12" i="63"/>
  <c r="F11" i="63"/>
  <c r="F10" i="63"/>
  <c r="F30" i="62"/>
  <c r="F29" i="62"/>
  <c r="F27" i="62"/>
  <c r="F25" i="62"/>
  <c r="F24" i="62"/>
  <c r="F23" i="62"/>
  <c r="F22" i="62"/>
  <c r="F20" i="62"/>
  <c r="F19" i="62"/>
  <c r="F18" i="62"/>
  <c r="F17" i="62"/>
  <c r="F16" i="62"/>
  <c r="F15" i="62"/>
  <c r="F14" i="62"/>
  <c r="F13" i="62"/>
  <c r="F12" i="62"/>
  <c r="F11" i="62"/>
  <c r="F10" i="62"/>
  <c r="F30" i="61"/>
  <c r="F29" i="61"/>
  <c r="F27" i="61"/>
  <c r="F25" i="61"/>
  <c r="F24" i="61"/>
  <c r="F23" i="61"/>
  <c r="F22" i="61"/>
  <c r="F20" i="61"/>
  <c r="F19" i="61"/>
  <c r="F18" i="61"/>
  <c r="F17" i="61"/>
  <c r="F16" i="61"/>
  <c r="F15" i="61"/>
  <c r="F14" i="61"/>
  <c r="F13" i="61"/>
  <c r="F12" i="61"/>
  <c r="F11" i="61"/>
  <c r="F10" i="61"/>
  <c r="F30" i="60"/>
  <c r="F29" i="60"/>
  <c r="F27" i="60"/>
  <c r="F25" i="60"/>
  <c r="F24" i="60"/>
  <c r="F23" i="60"/>
  <c r="F22" i="60"/>
  <c r="F20" i="60"/>
  <c r="F19" i="60"/>
  <c r="F18" i="60"/>
  <c r="F17" i="60"/>
  <c r="F16" i="60"/>
  <c r="F15" i="60"/>
  <c r="F14" i="60"/>
  <c r="F13" i="60"/>
  <c r="F12" i="60"/>
  <c r="F11" i="60"/>
  <c r="F10" i="60"/>
  <c r="F30" i="59"/>
  <c r="F29" i="59"/>
  <c r="F27" i="59"/>
  <c r="F25" i="59"/>
  <c r="F24" i="59"/>
  <c r="F23" i="59"/>
  <c r="F22" i="59"/>
  <c r="F20" i="59"/>
  <c r="F19" i="59"/>
  <c r="F18" i="59"/>
  <c r="F17" i="59"/>
  <c r="F16" i="59"/>
  <c r="F15" i="59"/>
  <c r="F14" i="59"/>
  <c r="F13" i="59"/>
  <c r="F12" i="59"/>
  <c r="F11" i="59"/>
  <c r="F10" i="59"/>
  <c r="F18" i="12" l="1"/>
  <c r="F30" i="12"/>
  <c r="F29" i="12"/>
  <c r="F27" i="12"/>
  <c r="F25" i="12"/>
  <c r="F24" i="12"/>
  <c r="F23" i="12"/>
  <c r="F22" i="12"/>
  <c r="F20" i="12"/>
  <c r="F19" i="12"/>
  <c r="F17" i="12"/>
  <c r="F16" i="12"/>
  <c r="F15" i="12"/>
  <c r="F14" i="12"/>
  <c r="F13" i="12"/>
  <c r="F12" i="12"/>
  <c r="F11" i="12"/>
  <c r="C28" i="27"/>
  <c r="C27" i="27"/>
  <c r="C25" i="27"/>
  <c r="C23" i="27"/>
  <c r="C22" i="27"/>
  <c r="C21" i="27"/>
  <c r="C20" i="27"/>
  <c r="C18" i="27"/>
  <c r="C17" i="27"/>
  <c r="C16" i="27"/>
  <c r="C15" i="27"/>
  <c r="C14" i="27"/>
  <c r="C13" i="27"/>
  <c r="C11" i="27"/>
  <c r="C9" i="27"/>
  <c r="C8" i="27"/>
  <c r="C9" i="10"/>
  <c r="N10" i="12"/>
  <c r="O10" i="12"/>
  <c r="O11" i="12"/>
  <c r="O12" i="12"/>
  <c r="O13" i="12"/>
  <c r="O14" i="12"/>
  <c r="O15" i="12"/>
  <c r="O16" i="12"/>
  <c r="O17" i="12"/>
  <c r="O18" i="12"/>
  <c r="O20" i="12"/>
  <c r="O22" i="12"/>
  <c r="O23" i="12"/>
  <c r="O24" i="12"/>
  <c r="O25" i="12"/>
  <c r="K9" i="6"/>
  <c r="J9" i="6"/>
  <c r="H9" i="6"/>
  <c r="I13" i="27" l="1"/>
  <c r="F13" i="27"/>
  <c r="F14" i="27"/>
  <c r="I14" i="27"/>
  <c r="I15" i="27"/>
  <c r="F15" i="27"/>
  <c r="I9" i="6"/>
  <c r="I18" i="6" l="1"/>
  <c r="F13" i="6"/>
  <c r="C41" i="12" s="1"/>
  <c r="G18" i="6"/>
  <c r="H18" i="6"/>
  <c r="F18" i="6"/>
  <c r="K18" i="6"/>
  <c r="J18" i="6"/>
  <c r="K16" i="6"/>
  <c r="H16" i="6"/>
  <c r="H17" i="6" s="1"/>
  <c r="C46" i="60" s="1"/>
  <c r="H10" i="6"/>
  <c r="C47" i="60" s="1"/>
  <c r="K15" i="6"/>
  <c r="H15" i="6"/>
  <c r="C43" i="60" s="1"/>
  <c r="G10" i="6"/>
  <c r="J10" i="6"/>
  <c r="J16" i="6"/>
  <c r="J17" i="6" s="1"/>
  <c r="K14" i="6"/>
  <c r="H14" i="6"/>
  <c r="C42" i="60" s="1"/>
  <c r="J15" i="6"/>
  <c r="K13" i="6"/>
  <c r="H13" i="6"/>
  <c r="C41" i="60" s="1"/>
  <c r="J14" i="6"/>
  <c r="J13" i="6"/>
  <c r="K10" i="6"/>
  <c r="F14" i="6"/>
  <c r="C42" i="12" s="1"/>
  <c r="I13" i="6"/>
  <c r="I14" i="6"/>
  <c r="C42" i="61" s="1"/>
  <c r="I15" i="6"/>
  <c r="I16" i="6"/>
  <c r="I10" i="6"/>
  <c r="G13" i="6"/>
  <c r="G14" i="6"/>
  <c r="G15" i="6"/>
  <c r="G16" i="6"/>
  <c r="F10" i="6"/>
  <c r="C47" i="12" s="1"/>
  <c r="F15" i="6"/>
  <c r="C43" i="12" s="1"/>
  <c r="F16" i="6"/>
  <c r="F17" i="6" s="1"/>
  <c r="C46" i="12" s="1"/>
  <c r="C48" i="60" l="1"/>
  <c r="G27" i="60"/>
  <c r="G22" i="60"/>
  <c r="G14" i="60"/>
  <c r="G18" i="60"/>
  <c r="G11" i="60"/>
  <c r="G24" i="60"/>
  <c r="G16" i="60"/>
  <c r="G20" i="60"/>
  <c r="G25" i="60"/>
  <c r="G15" i="60"/>
  <c r="G19" i="60"/>
  <c r="G30" i="60"/>
  <c r="G12" i="60"/>
  <c r="G13" i="60"/>
  <c r="G17" i="60"/>
  <c r="G29" i="60"/>
  <c r="G10" i="60"/>
  <c r="G23" i="60"/>
  <c r="C48" i="62"/>
  <c r="G25" i="62"/>
  <c r="G16" i="62"/>
  <c r="G20" i="62"/>
  <c r="G13" i="62"/>
  <c r="G30" i="62"/>
  <c r="G24" i="62"/>
  <c r="G10" i="62"/>
  <c r="G29" i="62"/>
  <c r="G23" i="62"/>
  <c r="G11" i="62"/>
  <c r="G17" i="62"/>
  <c r="G14" i="62"/>
  <c r="G18" i="62"/>
  <c r="G15" i="62"/>
  <c r="G12" i="62"/>
  <c r="G27" i="62"/>
  <c r="G19" i="62"/>
  <c r="G22" i="62"/>
  <c r="C48" i="63"/>
  <c r="C48" i="12"/>
  <c r="G10" i="12"/>
  <c r="C48" i="61"/>
  <c r="C48" i="59"/>
  <c r="C42" i="59"/>
  <c r="C42" i="62"/>
  <c r="C42" i="63"/>
  <c r="C43" i="62"/>
  <c r="C43" i="63"/>
  <c r="C47" i="62"/>
  <c r="C47" i="63"/>
  <c r="C41" i="62"/>
  <c r="C41" i="63"/>
  <c r="F9" i="6" l="1"/>
  <c r="H4" i="55" l="1"/>
  <c r="E6" i="68" l="1"/>
  <c r="R6" i="68" l="1"/>
  <c r="Q6" i="68"/>
  <c r="T6" i="68"/>
  <c r="S6" i="68"/>
  <c r="P6" i="68"/>
  <c r="O6" i="68"/>
  <c r="B3" i="68"/>
  <c r="G6" i="68"/>
  <c r="C6" i="68"/>
  <c r="M6" i="68"/>
  <c r="K6" i="68"/>
  <c r="I6" i="68"/>
  <c r="B2" i="68"/>
  <c r="C8" i="10" l="1"/>
  <c r="G9" i="6" l="1"/>
  <c r="F28" i="58" l="1"/>
  <c r="G28" i="58" s="1"/>
  <c r="G27" i="58"/>
  <c r="C28" i="58"/>
  <c r="D28" i="58" s="1"/>
  <c r="C27" i="58"/>
  <c r="D27" i="58" s="1"/>
  <c r="G17" i="6"/>
  <c r="I17" i="6"/>
  <c r="K17" i="6"/>
  <c r="G17" i="63" l="1"/>
  <c r="G25" i="63"/>
  <c r="G11" i="63"/>
  <c r="G20" i="63"/>
  <c r="G22" i="63"/>
  <c r="G24" i="63"/>
  <c r="G29" i="63"/>
  <c r="G10" i="63"/>
  <c r="G15" i="63"/>
  <c r="G19" i="63"/>
  <c r="G12" i="63"/>
  <c r="G23" i="63"/>
  <c r="G16" i="63"/>
  <c r="G13" i="63"/>
  <c r="G18" i="63"/>
  <c r="G14" i="63"/>
  <c r="G30" i="63"/>
  <c r="G27" i="63"/>
  <c r="G14" i="61"/>
  <c r="G24" i="61"/>
  <c r="G30" i="61"/>
  <c r="G29" i="61"/>
  <c r="G12" i="61"/>
  <c r="G11" i="61"/>
  <c r="G13" i="61"/>
  <c r="G18" i="61"/>
  <c r="G10" i="61"/>
  <c r="G25" i="61"/>
  <c r="G22" i="61"/>
  <c r="G15" i="61"/>
  <c r="G19" i="61"/>
  <c r="G17" i="61"/>
  <c r="G23" i="61"/>
  <c r="G16" i="61"/>
  <c r="G27" i="61"/>
  <c r="G20" i="61"/>
  <c r="G11" i="59"/>
  <c r="G17" i="59"/>
  <c r="G14" i="59"/>
  <c r="G30" i="59"/>
  <c r="G27" i="59"/>
  <c r="G29" i="59"/>
  <c r="G10" i="59"/>
  <c r="G18" i="59"/>
  <c r="G19" i="59"/>
  <c r="G24" i="59"/>
  <c r="G22" i="59"/>
  <c r="G12" i="59"/>
  <c r="G13" i="59"/>
  <c r="G20" i="59"/>
  <c r="G23" i="59"/>
  <c r="G25" i="59"/>
  <c r="C46" i="62"/>
  <c r="C46" i="63"/>
  <c r="D8" i="10" l="1"/>
  <c r="H10" i="60" l="1"/>
  <c r="H10" i="62"/>
  <c r="H10" i="59"/>
  <c r="H10" i="12"/>
  <c r="H10" i="63"/>
  <c r="H10" i="61"/>
  <c r="F17" i="58"/>
  <c r="G17" i="58" s="1"/>
  <c r="C17" i="58"/>
  <c r="D17" i="58" s="1"/>
  <c r="F11" i="58"/>
  <c r="G11" i="58" s="1"/>
  <c r="C11" i="58"/>
  <c r="D11" i="58" s="1"/>
  <c r="F9" i="58"/>
  <c r="G9" i="58" s="1"/>
  <c r="C9" i="58"/>
  <c r="D9" i="58" s="1"/>
  <c r="B3" i="62" l="1"/>
  <c r="B3" i="63"/>
  <c r="B2" i="63"/>
  <c r="B2" i="62"/>
  <c r="B3" i="61"/>
  <c r="B2" i="61"/>
  <c r="B3" i="60"/>
  <c r="B2" i="60"/>
  <c r="B3" i="59"/>
  <c r="B2" i="59"/>
  <c r="B3" i="12"/>
  <c r="B2" i="12"/>
  <c r="B3" i="58"/>
  <c r="B3" i="27"/>
  <c r="B4" i="10"/>
  <c r="B3" i="55"/>
  <c r="B3" i="54"/>
  <c r="N12" i="63"/>
  <c r="O12" i="63"/>
  <c r="N14" i="63"/>
  <c r="O14" i="63"/>
  <c r="N15" i="63"/>
  <c r="O15" i="63"/>
  <c r="N16" i="63"/>
  <c r="O16" i="63"/>
  <c r="N17" i="63"/>
  <c r="O17" i="63"/>
  <c r="N18" i="63"/>
  <c r="O18" i="63"/>
  <c r="N20" i="63"/>
  <c r="O20" i="63"/>
  <c r="N22" i="63"/>
  <c r="O22" i="63"/>
  <c r="N23" i="63"/>
  <c r="O23" i="63"/>
  <c r="N24" i="63"/>
  <c r="O24" i="63"/>
  <c r="O10" i="63"/>
  <c r="N10" i="63"/>
  <c r="N12" i="62"/>
  <c r="O12" i="62"/>
  <c r="N14" i="62"/>
  <c r="O14" i="62"/>
  <c r="N15" i="62"/>
  <c r="O15" i="62"/>
  <c r="N16" i="62"/>
  <c r="O16" i="62"/>
  <c r="N17" i="62"/>
  <c r="O17" i="62"/>
  <c r="N18" i="62"/>
  <c r="O18" i="62"/>
  <c r="N20" i="62"/>
  <c r="O20" i="62"/>
  <c r="N22" i="62"/>
  <c r="O22" i="62"/>
  <c r="N23" i="62"/>
  <c r="O23" i="62"/>
  <c r="N24" i="62"/>
  <c r="O24" i="62"/>
  <c r="O10" i="62"/>
  <c r="N10" i="62"/>
  <c r="N12" i="61"/>
  <c r="O12" i="61"/>
  <c r="N14" i="61"/>
  <c r="O14" i="61"/>
  <c r="N15" i="61"/>
  <c r="O15" i="61"/>
  <c r="N16" i="61"/>
  <c r="O16" i="61"/>
  <c r="N17" i="61"/>
  <c r="O17" i="61"/>
  <c r="N18" i="61"/>
  <c r="O18" i="61"/>
  <c r="N20" i="61"/>
  <c r="O20" i="61"/>
  <c r="N22" i="61"/>
  <c r="O22" i="61"/>
  <c r="N23" i="61"/>
  <c r="O23" i="61"/>
  <c r="N24" i="61"/>
  <c r="O24" i="61"/>
  <c r="O10" i="61"/>
  <c r="N10" i="61"/>
  <c r="C4" i="62"/>
  <c r="C4" i="63"/>
  <c r="C28" i="10"/>
  <c r="F28" i="10"/>
  <c r="C27" i="10"/>
  <c r="F27" i="10"/>
  <c r="C25" i="10"/>
  <c r="F25" i="10"/>
  <c r="J27" i="62" s="1"/>
  <c r="C23" i="10"/>
  <c r="F23" i="10"/>
  <c r="C22" i="10"/>
  <c r="F22" i="10"/>
  <c r="C21" i="10"/>
  <c r="F21" i="10"/>
  <c r="C20" i="10"/>
  <c r="F20" i="10"/>
  <c r="F18" i="10"/>
  <c r="F14" i="10"/>
  <c r="G14" i="10" s="1"/>
  <c r="F12" i="10"/>
  <c r="G12" i="10" s="1"/>
  <c r="F10" i="10"/>
  <c r="G10" i="10" s="1"/>
  <c r="C46" i="61"/>
  <c r="C47" i="61"/>
  <c r="C43" i="61"/>
  <c r="C4" i="61"/>
  <c r="C46" i="59"/>
  <c r="C4" i="60"/>
  <c r="R30" i="60"/>
  <c r="F28" i="46"/>
  <c r="C28" i="46"/>
  <c r="D28" i="46" s="1"/>
  <c r="R29" i="60"/>
  <c r="F27" i="46"/>
  <c r="C27" i="46"/>
  <c r="N29" i="59" s="1"/>
  <c r="R27" i="60"/>
  <c r="F25" i="46"/>
  <c r="C25" i="46"/>
  <c r="N27" i="59" s="1"/>
  <c r="R25" i="60"/>
  <c r="O25" i="60"/>
  <c r="N25" i="60"/>
  <c r="R24" i="60"/>
  <c r="O24" i="60"/>
  <c r="N24" i="60"/>
  <c r="R23" i="60"/>
  <c r="O23" i="60"/>
  <c r="N23" i="59"/>
  <c r="N23" i="60"/>
  <c r="R22" i="60"/>
  <c r="O22" i="60"/>
  <c r="N22" i="60"/>
  <c r="R20" i="60"/>
  <c r="N20" i="60"/>
  <c r="R19" i="60"/>
  <c r="O19" i="60"/>
  <c r="N19" i="60"/>
  <c r="R18" i="60"/>
  <c r="O18" i="59"/>
  <c r="N18" i="60"/>
  <c r="R17" i="60"/>
  <c r="O17" i="60"/>
  <c r="N17" i="60"/>
  <c r="R16" i="60"/>
  <c r="N16" i="60"/>
  <c r="R15" i="60"/>
  <c r="O15" i="60"/>
  <c r="N15" i="60"/>
  <c r="R14" i="60"/>
  <c r="N14" i="60"/>
  <c r="R13" i="60"/>
  <c r="O13" i="60"/>
  <c r="N13" i="60"/>
  <c r="R12" i="60"/>
  <c r="N12" i="60"/>
  <c r="R11" i="60"/>
  <c r="O11" i="60"/>
  <c r="N11" i="60"/>
  <c r="R10" i="60"/>
  <c r="N10" i="60"/>
  <c r="C47" i="59"/>
  <c r="C43" i="59"/>
  <c r="N10" i="59"/>
  <c r="C4" i="59"/>
  <c r="R30" i="59"/>
  <c r="R29" i="59"/>
  <c r="R27" i="59"/>
  <c r="R25" i="59"/>
  <c r="R24" i="59"/>
  <c r="O24" i="59"/>
  <c r="N24" i="59"/>
  <c r="R23" i="59"/>
  <c r="O23" i="59"/>
  <c r="R22" i="59"/>
  <c r="O22" i="59"/>
  <c r="N22" i="59"/>
  <c r="R20" i="59"/>
  <c r="N20" i="59"/>
  <c r="R19" i="59"/>
  <c r="N19" i="59"/>
  <c r="R18" i="59"/>
  <c r="N18" i="59"/>
  <c r="R17" i="59"/>
  <c r="N17" i="59"/>
  <c r="R16" i="59"/>
  <c r="N16" i="59"/>
  <c r="R15" i="59"/>
  <c r="O15" i="59"/>
  <c r="N15" i="59"/>
  <c r="R14" i="59"/>
  <c r="N14" i="59"/>
  <c r="R13" i="59"/>
  <c r="N13" i="59"/>
  <c r="R12" i="59"/>
  <c r="N12" i="59"/>
  <c r="R11" i="59"/>
  <c r="N11" i="59"/>
  <c r="R10" i="59"/>
  <c r="R10" i="12"/>
  <c r="O30" i="63"/>
  <c r="N30" i="63"/>
  <c r="O29" i="63"/>
  <c r="F25" i="58"/>
  <c r="O27" i="63" s="1"/>
  <c r="C25" i="58"/>
  <c r="N27" i="63" s="1"/>
  <c r="F23" i="58"/>
  <c r="O25" i="63" s="1"/>
  <c r="C23" i="58"/>
  <c r="N25" i="63" s="1"/>
  <c r="O19" i="63"/>
  <c r="N19" i="63"/>
  <c r="O13" i="63"/>
  <c r="N13" i="63"/>
  <c r="O11" i="63"/>
  <c r="B2" i="58"/>
  <c r="D21" i="10"/>
  <c r="D23" i="10"/>
  <c r="D25" i="10"/>
  <c r="D28" i="10"/>
  <c r="D11" i="10"/>
  <c r="D13" i="10"/>
  <c r="E13" i="10" s="1"/>
  <c r="D15" i="10"/>
  <c r="E15" i="10" s="1"/>
  <c r="D16" i="10"/>
  <c r="D17" i="10"/>
  <c r="R11" i="12"/>
  <c r="R12" i="12"/>
  <c r="R13" i="12"/>
  <c r="R14" i="12"/>
  <c r="R15" i="12"/>
  <c r="R16" i="12"/>
  <c r="R17" i="12"/>
  <c r="R18" i="12"/>
  <c r="R19" i="12"/>
  <c r="R20" i="12"/>
  <c r="R22" i="12"/>
  <c r="R23" i="12"/>
  <c r="R24" i="12"/>
  <c r="R25" i="12"/>
  <c r="R27" i="12"/>
  <c r="R29" i="12"/>
  <c r="R30" i="12"/>
  <c r="D27" i="10"/>
  <c r="N11" i="12"/>
  <c r="D10" i="10"/>
  <c r="E10" i="10" s="1"/>
  <c r="N12" i="12"/>
  <c r="N13" i="12"/>
  <c r="D12" i="10"/>
  <c r="E12" i="10" s="1"/>
  <c r="N14" i="12"/>
  <c r="N15" i="12"/>
  <c r="N16" i="12"/>
  <c r="N17" i="12"/>
  <c r="N18" i="12"/>
  <c r="N19" i="12"/>
  <c r="D18" i="10"/>
  <c r="N20" i="12"/>
  <c r="N22" i="12"/>
  <c r="N23" i="12"/>
  <c r="D22" i="10"/>
  <c r="N24" i="12"/>
  <c r="B3" i="10"/>
  <c r="B3" i="46"/>
  <c r="B2" i="27"/>
  <c r="B2" i="55"/>
  <c r="B2" i="54"/>
  <c r="C41" i="59"/>
  <c r="C41" i="61"/>
  <c r="G2" i="47"/>
  <c r="F2" i="47"/>
  <c r="E2" i="47"/>
  <c r="D2" i="47"/>
  <c r="C2" i="47"/>
  <c r="B2" i="47"/>
  <c r="B2" i="46"/>
  <c r="B2" i="6"/>
  <c r="B4" i="6"/>
  <c r="C4" i="12"/>
  <c r="H24" i="63" l="1"/>
  <c r="H24" i="61"/>
  <c r="H24" i="60"/>
  <c r="H24" i="62"/>
  <c r="H24" i="12"/>
  <c r="H24" i="59"/>
  <c r="H29" i="62"/>
  <c r="H29" i="59"/>
  <c r="H29" i="12"/>
  <c r="H29" i="61"/>
  <c r="H29" i="63"/>
  <c r="H29" i="60"/>
  <c r="H15" i="63"/>
  <c r="H15" i="60"/>
  <c r="H15" i="62"/>
  <c r="H15" i="12"/>
  <c r="H15" i="61"/>
  <c r="H15" i="59"/>
  <c r="H25" i="62"/>
  <c r="H25" i="63"/>
  <c r="H25" i="60"/>
  <c r="H25" i="61"/>
  <c r="H25" i="12"/>
  <c r="H25" i="59"/>
  <c r="J20" i="59"/>
  <c r="J20" i="61"/>
  <c r="J20" i="63"/>
  <c r="J20" i="12"/>
  <c r="J20" i="62"/>
  <c r="J20" i="60"/>
  <c r="J22" i="61"/>
  <c r="J22" i="62"/>
  <c r="J22" i="60"/>
  <c r="J22" i="12"/>
  <c r="J22" i="63"/>
  <c r="J22" i="59"/>
  <c r="J23" i="60"/>
  <c r="J23" i="63"/>
  <c r="J23" i="62"/>
  <c r="J23" i="61"/>
  <c r="J23" i="12"/>
  <c r="J23" i="59"/>
  <c r="J24" i="62"/>
  <c r="J24" i="59"/>
  <c r="J24" i="12"/>
  <c r="J24" i="61"/>
  <c r="J24" i="60"/>
  <c r="J24" i="63"/>
  <c r="J25" i="59"/>
  <c r="J25" i="12"/>
  <c r="J25" i="63"/>
  <c r="J25" i="61"/>
  <c r="J25" i="60"/>
  <c r="J25" i="62"/>
  <c r="J27" i="61"/>
  <c r="J27" i="60"/>
  <c r="J27" i="63"/>
  <c r="J27" i="59"/>
  <c r="J27" i="12"/>
  <c r="J29" i="60"/>
  <c r="J29" i="63"/>
  <c r="J29" i="59"/>
  <c r="J29" i="12"/>
  <c r="J29" i="62"/>
  <c r="J29" i="61"/>
  <c r="J30" i="61"/>
  <c r="J30" i="62"/>
  <c r="J30" i="59"/>
  <c r="J30" i="12"/>
  <c r="J30" i="63"/>
  <c r="J30" i="60"/>
  <c r="H12" i="62"/>
  <c r="H12" i="61"/>
  <c r="H12" i="63"/>
  <c r="H12" i="60"/>
  <c r="H12" i="59"/>
  <c r="H12" i="12"/>
  <c r="H13" i="63"/>
  <c r="H13" i="59"/>
  <c r="H13" i="12"/>
  <c r="H13" i="62"/>
  <c r="H13" i="61"/>
  <c r="H13" i="60"/>
  <c r="J14" i="61"/>
  <c r="J14" i="59"/>
  <c r="J14" i="63"/>
  <c r="J14" i="60"/>
  <c r="J14" i="62"/>
  <c r="J14" i="12"/>
  <c r="H14" i="62"/>
  <c r="H14" i="60"/>
  <c r="H14" i="59"/>
  <c r="H14" i="12"/>
  <c r="H14" i="63"/>
  <c r="T14" i="63" s="1"/>
  <c r="H14" i="61"/>
  <c r="H18" i="62"/>
  <c r="H18" i="60"/>
  <c r="H18" i="61"/>
  <c r="H18" i="59"/>
  <c r="H18" i="12"/>
  <c r="H18" i="63"/>
  <c r="H30" i="63"/>
  <c r="T30" i="63" s="1"/>
  <c r="H30" i="61"/>
  <c r="T30" i="61" s="1"/>
  <c r="H30" i="62"/>
  <c r="T30" i="62" s="1"/>
  <c r="H30" i="60"/>
  <c r="T30" i="60" s="1"/>
  <c r="H30" i="59"/>
  <c r="T30" i="59" s="1"/>
  <c r="H30" i="12"/>
  <c r="J12" i="61"/>
  <c r="J12" i="63"/>
  <c r="J12" i="12"/>
  <c r="J12" i="59"/>
  <c r="J12" i="60"/>
  <c r="J12" i="62"/>
  <c r="H19" i="63"/>
  <c r="T19" i="63" s="1"/>
  <c r="H19" i="60"/>
  <c r="T19" i="60" s="1"/>
  <c r="H19" i="62"/>
  <c r="T19" i="62" s="1"/>
  <c r="H19" i="59"/>
  <c r="T19" i="59" s="1"/>
  <c r="H19" i="12"/>
  <c r="H19" i="61"/>
  <c r="T19" i="61" s="1"/>
  <c r="H23" i="62"/>
  <c r="H23" i="59"/>
  <c r="H23" i="12"/>
  <c r="H23" i="61"/>
  <c r="H23" i="63"/>
  <c r="H23" i="60"/>
  <c r="T23" i="60" s="1"/>
  <c r="H20" i="62"/>
  <c r="H20" i="61"/>
  <c r="H20" i="63"/>
  <c r="H20" i="60"/>
  <c r="H20" i="12"/>
  <c r="H20" i="59"/>
  <c r="H17" i="63"/>
  <c r="H17" i="59"/>
  <c r="H17" i="12"/>
  <c r="H17" i="62"/>
  <c r="H17" i="61"/>
  <c r="H17" i="60"/>
  <c r="H27" i="63"/>
  <c r="H27" i="60"/>
  <c r="H27" i="62"/>
  <c r="T27" i="62" s="1"/>
  <c r="H27" i="59"/>
  <c r="H27" i="12"/>
  <c r="H27" i="61"/>
  <c r="T27" i="61" s="1"/>
  <c r="J16" i="63"/>
  <c r="J16" i="12"/>
  <c r="J16" i="61"/>
  <c r="J16" i="60"/>
  <c r="J16" i="59"/>
  <c r="J16" i="62"/>
  <c r="K16" i="62" s="1"/>
  <c r="N30" i="12"/>
  <c r="O30" i="60"/>
  <c r="O30" i="12"/>
  <c r="O29" i="60"/>
  <c r="O29" i="12"/>
  <c r="O27" i="59"/>
  <c r="O27" i="12"/>
  <c r="G25" i="46"/>
  <c r="G27" i="46"/>
  <c r="G28" i="46"/>
  <c r="N27" i="12"/>
  <c r="N27" i="60"/>
  <c r="D25" i="46"/>
  <c r="N30" i="59"/>
  <c r="O25" i="59"/>
  <c r="D27" i="46"/>
  <c r="O29" i="59"/>
  <c r="O30" i="59"/>
  <c r="N25" i="59"/>
  <c r="N30" i="60"/>
  <c r="D25" i="58"/>
  <c r="G25" i="58"/>
  <c r="G23" i="58"/>
  <c r="N25" i="12"/>
  <c r="O11" i="59"/>
  <c r="O14" i="59"/>
  <c r="O17" i="59"/>
  <c r="O20" i="59"/>
  <c r="O11" i="61"/>
  <c r="O11" i="62"/>
  <c r="N11" i="61"/>
  <c r="N11" i="62"/>
  <c r="N11" i="63"/>
  <c r="O10" i="60"/>
  <c r="O12" i="60"/>
  <c r="O14" i="60"/>
  <c r="O16" i="60"/>
  <c r="O18" i="60"/>
  <c r="O20" i="60"/>
  <c r="O12" i="59"/>
  <c r="O30" i="61"/>
  <c r="O30" i="62"/>
  <c r="O27" i="60"/>
  <c r="N30" i="61"/>
  <c r="N30" i="62"/>
  <c r="N29" i="12"/>
  <c r="O29" i="61"/>
  <c r="O29" i="62"/>
  <c r="N29" i="61"/>
  <c r="N29" i="62"/>
  <c r="N29" i="63"/>
  <c r="D23" i="58"/>
  <c r="O10" i="59"/>
  <c r="O13" i="59"/>
  <c r="O16" i="59"/>
  <c r="O19" i="59"/>
  <c r="O27" i="61"/>
  <c r="O19" i="61"/>
  <c r="O13" i="61"/>
  <c r="O27" i="62"/>
  <c r="O19" i="62"/>
  <c r="O13" i="62"/>
  <c r="N29" i="60"/>
  <c r="N27" i="61"/>
  <c r="N19" i="61"/>
  <c r="N13" i="61"/>
  <c r="N27" i="62"/>
  <c r="N19" i="62"/>
  <c r="N13" i="62"/>
  <c r="O25" i="61"/>
  <c r="O25" i="62"/>
  <c r="N25" i="61"/>
  <c r="N25" i="62"/>
  <c r="F17" i="10"/>
  <c r="F9" i="10"/>
  <c r="F16" i="10"/>
  <c r="D9" i="10"/>
  <c r="F11" i="10"/>
  <c r="F13" i="10"/>
  <c r="G13" i="10" s="1"/>
  <c r="D20" i="10"/>
  <c r="F8" i="10"/>
  <c r="J10" i="12" s="1"/>
  <c r="T10" i="12" s="1"/>
  <c r="F15" i="10"/>
  <c r="G15" i="10" s="1"/>
  <c r="D14" i="10"/>
  <c r="E14" i="10" s="1"/>
  <c r="T20" i="12" l="1"/>
  <c r="T20" i="59"/>
  <c r="T23" i="62"/>
  <c r="T14" i="61"/>
  <c r="T20" i="63"/>
  <c r="T27" i="63"/>
  <c r="T20" i="61"/>
  <c r="T20" i="62"/>
  <c r="T27" i="59"/>
  <c r="T14" i="59"/>
  <c r="T23" i="59"/>
  <c r="T23" i="63"/>
  <c r="T20" i="60"/>
  <c r="T14" i="60"/>
  <c r="T27" i="60"/>
  <c r="T23" i="61"/>
  <c r="T14" i="62"/>
  <c r="T25" i="61"/>
  <c r="T25" i="62"/>
  <c r="T29" i="61"/>
  <c r="T24" i="61"/>
  <c r="T12" i="61"/>
  <c r="T25" i="60"/>
  <c r="T25" i="63"/>
  <c r="T29" i="60"/>
  <c r="T24" i="62"/>
  <c r="T12" i="60"/>
  <c r="T29" i="63"/>
  <c r="T24" i="60"/>
  <c r="T12" i="63"/>
  <c r="T24" i="63"/>
  <c r="T12" i="62"/>
  <c r="T25" i="59"/>
  <c r="T29" i="62"/>
  <c r="T29" i="59"/>
  <c r="T24" i="59"/>
  <c r="T12" i="59"/>
  <c r="T27" i="12"/>
  <c r="T30" i="12"/>
  <c r="T14" i="12"/>
  <c r="T23" i="12"/>
  <c r="T25" i="12"/>
  <c r="T12" i="12"/>
  <c r="T24" i="12"/>
  <c r="T29" i="12"/>
  <c r="J15" i="12"/>
  <c r="T15" i="12" s="1"/>
  <c r="J15" i="62"/>
  <c r="T15" i="62" s="1"/>
  <c r="J15" i="61"/>
  <c r="T15" i="61" s="1"/>
  <c r="J15" i="59"/>
  <c r="T15" i="59" s="1"/>
  <c r="J15" i="60"/>
  <c r="T15" i="60" s="1"/>
  <c r="J15" i="63"/>
  <c r="T15" i="63" s="1"/>
  <c r="J13" i="60"/>
  <c r="T13" i="60" s="1"/>
  <c r="J13" i="62"/>
  <c r="T13" i="62" s="1"/>
  <c r="J13" i="61"/>
  <c r="T13" i="61" s="1"/>
  <c r="J13" i="59"/>
  <c r="T13" i="59" s="1"/>
  <c r="J13" i="12"/>
  <c r="T13" i="12" s="1"/>
  <c r="J13" i="63"/>
  <c r="T13" i="63" s="1"/>
  <c r="J11" i="12"/>
  <c r="J11" i="62"/>
  <c r="J11" i="61"/>
  <c r="J11" i="59"/>
  <c r="J11" i="63"/>
  <c r="J11" i="60"/>
  <c r="J17" i="60"/>
  <c r="T17" i="60" s="1"/>
  <c r="J17" i="62"/>
  <c r="T17" i="62" s="1"/>
  <c r="J17" i="12"/>
  <c r="T17" i="12" s="1"/>
  <c r="J17" i="61"/>
  <c r="T17" i="61" s="1"/>
  <c r="J17" i="59"/>
  <c r="T17" i="59" s="1"/>
  <c r="J17" i="63"/>
  <c r="T17" i="63" s="1"/>
  <c r="J19" i="12"/>
  <c r="T19" i="12" s="1"/>
  <c r="J19" i="62"/>
  <c r="J19" i="61"/>
  <c r="J19" i="59"/>
  <c r="J19" i="63"/>
  <c r="J19" i="60"/>
  <c r="J10" i="60"/>
  <c r="T10" i="60" s="1"/>
  <c r="J10" i="63"/>
  <c r="T10" i="63" s="1"/>
  <c r="J10" i="59"/>
  <c r="T10" i="59" s="1"/>
  <c r="J10" i="62"/>
  <c r="T10" i="62" s="1"/>
  <c r="J10" i="61"/>
  <c r="T10" i="61" s="1"/>
  <c r="H11" i="63"/>
  <c r="H11" i="60"/>
  <c r="H11" i="62"/>
  <c r="H11" i="59"/>
  <c r="H11" i="61"/>
  <c r="H11" i="12"/>
  <c r="H16" i="62"/>
  <c r="T16" i="62" s="1"/>
  <c r="H16" i="61"/>
  <c r="T16" i="61" s="1"/>
  <c r="H16" i="63"/>
  <c r="T16" i="63" s="1"/>
  <c r="H16" i="60"/>
  <c r="T16" i="60" s="1"/>
  <c r="H16" i="12"/>
  <c r="T16" i="12" s="1"/>
  <c r="H16" i="59"/>
  <c r="T16" i="59" s="1"/>
  <c r="H22" i="63"/>
  <c r="T22" i="63" s="1"/>
  <c r="H22" i="60"/>
  <c r="T22" i="60" s="1"/>
  <c r="H22" i="62"/>
  <c r="T22" i="62" s="1"/>
  <c r="H22" i="61"/>
  <c r="T22" i="61" s="1"/>
  <c r="H22" i="59"/>
  <c r="T22" i="59" s="1"/>
  <c r="H22" i="12"/>
  <c r="T22" i="12" s="1"/>
  <c r="J18" i="61"/>
  <c r="T18" i="61" s="1"/>
  <c r="J18" i="59"/>
  <c r="T18" i="59" s="1"/>
  <c r="J18" i="63"/>
  <c r="T18" i="63" s="1"/>
  <c r="J18" i="60"/>
  <c r="T18" i="60" s="1"/>
  <c r="J18" i="62"/>
  <c r="T18" i="62" s="1"/>
  <c r="J18" i="12"/>
  <c r="T18" i="12" s="1"/>
  <c r="T11" i="62" l="1"/>
  <c r="T11" i="61"/>
  <c r="T11" i="59"/>
  <c r="T11" i="63"/>
  <c r="T11" i="60"/>
  <c r="T11" i="12"/>
  <c r="T38" i="63"/>
  <c r="H12" i="6" l="1"/>
  <c r="I12" i="6"/>
  <c r="I11" i="6"/>
  <c r="C45" i="61" l="1"/>
  <c r="K25" i="61"/>
  <c r="K27" i="61"/>
  <c r="K22" i="61"/>
  <c r="K23" i="61"/>
  <c r="K29" i="61"/>
  <c r="K24" i="61"/>
  <c r="K30" i="61"/>
  <c r="C45" i="60"/>
  <c r="K14" i="60"/>
  <c r="K27" i="60"/>
  <c r="K22" i="60"/>
  <c r="K16" i="60"/>
  <c r="K25" i="60"/>
  <c r="K24" i="60"/>
  <c r="K20" i="60"/>
  <c r="K12" i="60"/>
  <c r="K29" i="60"/>
  <c r="K23" i="60"/>
  <c r="K30" i="60"/>
  <c r="K18" i="60"/>
  <c r="K11" i="60"/>
  <c r="K10" i="60"/>
  <c r="K17" i="60"/>
  <c r="K13" i="60"/>
  <c r="K15" i="60"/>
  <c r="K19" i="60"/>
  <c r="K16" i="61"/>
  <c r="K20" i="61"/>
  <c r="K12" i="61"/>
  <c r="K14" i="61"/>
  <c r="K18" i="61"/>
  <c r="K17" i="61"/>
  <c r="K19" i="61"/>
  <c r="K11" i="61"/>
  <c r="K13" i="61"/>
  <c r="K15" i="61"/>
  <c r="K10" i="61"/>
  <c r="I25" i="61"/>
  <c r="G17" i="12"/>
  <c r="G25" i="12"/>
  <c r="G27" i="12"/>
  <c r="G23" i="12"/>
  <c r="G24" i="12"/>
  <c r="G13" i="12"/>
  <c r="G12" i="12"/>
  <c r="G29" i="12"/>
  <c r="G30" i="12"/>
  <c r="G15" i="12"/>
  <c r="G19" i="12"/>
  <c r="G11" i="12"/>
  <c r="G16" i="12"/>
  <c r="G20" i="12"/>
  <c r="G18" i="12"/>
  <c r="G14" i="12"/>
  <c r="G22" i="12"/>
  <c r="I29" i="60"/>
  <c r="I19" i="60"/>
  <c r="I25" i="60"/>
  <c r="I27" i="60"/>
  <c r="I15" i="60"/>
  <c r="I16" i="60"/>
  <c r="I13" i="60"/>
  <c r="I24" i="60"/>
  <c r="I23" i="60"/>
  <c r="I17" i="60"/>
  <c r="I22" i="60"/>
  <c r="I11" i="60"/>
  <c r="I20" i="60"/>
  <c r="I10" i="60"/>
  <c r="I12" i="60"/>
  <c r="I14" i="60"/>
  <c r="I30" i="60"/>
  <c r="I18" i="60"/>
  <c r="K12" i="6"/>
  <c r="J12" i="6"/>
  <c r="I16" i="61"/>
  <c r="I12" i="61"/>
  <c r="I17" i="61"/>
  <c r="I11" i="61"/>
  <c r="I20" i="61"/>
  <c r="I19" i="61"/>
  <c r="I22" i="61"/>
  <c r="I23" i="61"/>
  <c r="I27" i="61"/>
  <c r="I13" i="61"/>
  <c r="I14" i="61"/>
  <c r="I30" i="61"/>
  <c r="I29" i="61"/>
  <c r="I18" i="61"/>
  <c r="I15" i="61"/>
  <c r="I24" i="61"/>
  <c r="I10" i="61"/>
  <c r="H11" i="6"/>
  <c r="C44" i="60" s="1"/>
  <c r="J11" i="6"/>
  <c r="K11" i="6"/>
  <c r="E20" i="61"/>
  <c r="E15" i="61"/>
  <c r="E23" i="61"/>
  <c r="E12" i="61"/>
  <c r="E18" i="61"/>
  <c r="E16" i="61"/>
  <c r="E14" i="61"/>
  <c r="E13" i="61"/>
  <c r="E10" i="61"/>
  <c r="E24" i="61"/>
  <c r="E11" i="61"/>
  <c r="E25" i="61"/>
  <c r="E19" i="61"/>
  <c r="E30" i="61"/>
  <c r="E17" i="61"/>
  <c r="E29" i="61"/>
  <c r="C44" i="61"/>
  <c r="E22" i="61"/>
  <c r="E27" i="61"/>
  <c r="F11" i="6"/>
  <c r="E10" i="12" s="1"/>
  <c r="F12" i="6"/>
  <c r="C45" i="12" s="1"/>
  <c r="K27" i="62" l="1"/>
  <c r="I15" i="62"/>
  <c r="I13" i="62"/>
  <c r="I30" i="62"/>
  <c r="I24" i="62"/>
  <c r="I17" i="62"/>
  <c r="I25" i="62"/>
  <c r="I29" i="62"/>
  <c r="I23" i="62"/>
  <c r="I18" i="62"/>
  <c r="I20" i="62"/>
  <c r="I12" i="62"/>
  <c r="I14" i="62"/>
  <c r="I27" i="62"/>
  <c r="I19" i="62"/>
  <c r="I22" i="62"/>
  <c r="I11" i="62"/>
  <c r="I16" i="62"/>
  <c r="L23" i="61"/>
  <c r="M23" i="61" s="1"/>
  <c r="L18" i="61"/>
  <c r="L20" i="61"/>
  <c r="K29" i="63"/>
  <c r="K23" i="63"/>
  <c r="K13" i="63"/>
  <c r="K17" i="63"/>
  <c r="K10" i="63"/>
  <c r="I25" i="63"/>
  <c r="I11" i="63"/>
  <c r="I15" i="63"/>
  <c r="I19" i="63"/>
  <c r="K27" i="63"/>
  <c r="K14" i="63"/>
  <c r="K18" i="63"/>
  <c r="I24" i="63"/>
  <c r="I12" i="63"/>
  <c r="I20" i="63"/>
  <c r="I23" i="63"/>
  <c r="I17" i="63"/>
  <c r="K22" i="63"/>
  <c r="I30" i="63"/>
  <c r="I16" i="63"/>
  <c r="K25" i="63"/>
  <c r="K11" i="63"/>
  <c r="K15" i="63"/>
  <c r="K19" i="63"/>
  <c r="I29" i="63"/>
  <c r="I13" i="63"/>
  <c r="I10" i="63"/>
  <c r="K30" i="63"/>
  <c r="K20" i="63"/>
  <c r="I18" i="63"/>
  <c r="K24" i="63"/>
  <c r="I27" i="63"/>
  <c r="I14" i="63"/>
  <c r="K12" i="63"/>
  <c r="I22" i="63"/>
  <c r="K16" i="63"/>
  <c r="L25" i="61"/>
  <c r="K25" i="62"/>
  <c r="K11" i="62"/>
  <c r="K15" i="62"/>
  <c r="K19" i="62"/>
  <c r="I10" i="62"/>
  <c r="K24" i="62"/>
  <c r="K23" i="62"/>
  <c r="K13" i="62"/>
  <c r="K10" i="62"/>
  <c r="K12" i="62"/>
  <c r="K20" i="62"/>
  <c r="K30" i="62"/>
  <c r="K17" i="62"/>
  <c r="K29" i="62"/>
  <c r="K22" i="62"/>
  <c r="K14" i="62"/>
  <c r="K18" i="62"/>
  <c r="L19" i="61"/>
  <c r="L10" i="61"/>
  <c r="L12" i="61"/>
  <c r="L29" i="61"/>
  <c r="L13" i="61"/>
  <c r="L17" i="61"/>
  <c r="L14" i="61"/>
  <c r="L22" i="61"/>
  <c r="L16" i="61"/>
  <c r="C44" i="12"/>
  <c r="L27" i="61"/>
  <c r="L11" i="61"/>
  <c r="L30" i="61"/>
  <c r="L24" i="61"/>
  <c r="L15" i="61"/>
  <c r="C45" i="63"/>
  <c r="K12" i="12"/>
  <c r="K14" i="12"/>
  <c r="K20" i="12"/>
  <c r="K24" i="12"/>
  <c r="K30" i="12"/>
  <c r="K16" i="12"/>
  <c r="K29" i="12"/>
  <c r="K25" i="12"/>
  <c r="K27" i="12"/>
  <c r="K22" i="12"/>
  <c r="K23" i="12"/>
  <c r="K19" i="12"/>
  <c r="K13" i="12"/>
  <c r="K10" i="12"/>
  <c r="K11" i="12"/>
  <c r="K15" i="12"/>
  <c r="K18" i="12"/>
  <c r="K17" i="12"/>
  <c r="C44" i="63"/>
  <c r="E11" i="63"/>
  <c r="E19" i="63"/>
  <c r="E18" i="63"/>
  <c r="E25" i="63"/>
  <c r="E30" i="63"/>
  <c r="E17" i="63"/>
  <c r="E24" i="63"/>
  <c r="E20" i="63"/>
  <c r="E13" i="63"/>
  <c r="E27" i="63"/>
  <c r="E23" i="63"/>
  <c r="E29" i="63"/>
  <c r="E10" i="63"/>
  <c r="E22" i="63"/>
  <c r="E12" i="63"/>
  <c r="E15" i="63"/>
  <c r="E16" i="63"/>
  <c r="E14" i="63"/>
  <c r="E18" i="60"/>
  <c r="L18" i="60" s="1"/>
  <c r="E30" i="60"/>
  <c r="L30" i="60" s="1"/>
  <c r="E13" i="60"/>
  <c r="L13" i="60" s="1"/>
  <c r="E25" i="60"/>
  <c r="L25" i="60" s="1"/>
  <c r="E24" i="60"/>
  <c r="L24" i="60" s="1"/>
  <c r="E16" i="60"/>
  <c r="L16" i="60" s="1"/>
  <c r="E15" i="60"/>
  <c r="L15" i="60" s="1"/>
  <c r="E22" i="60"/>
  <c r="L22" i="60" s="1"/>
  <c r="E17" i="60"/>
  <c r="L17" i="60" s="1"/>
  <c r="E20" i="60"/>
  <c r="L20" i="60" s="1"/>
  <c r="E29" i="60"/>
  <c r="L29" i="60" s="1"/>
  <c r="E14" i="60"/>
  <c r="L14" i="60" s="1"/>
  <c r="E11" i="60"/>
  <c r="L11" i="60" s="1"/>
  <c r="E12" i="60"/>
  <c r="L12" i="60" s="1"/>
  <c r="E10" i="60"/>
  <c r="L10" i="60" s="1"/>
  <c r="E19" i="60"/>
  <c r="L19" i="60" s="1"/>
  <c r="E23" i="60"/>
  <c r="L23" i="60" s="1"/>
  <c r="E27" i="60"/>
  <c r="L27" i="60" s="1"/>
  <c r="C45" i="62"/>
  <c r="G12" i="6"/>
  <c r="E13" i="62"/>
  <c r="E22" i="62"/>
  <c r="E25" i="62"/>
  <c r="E29" i="62"/>
  <c r="E16" i="62"/>
  <c r="E10" i="62"/>
  <c r="E24" i="62"/>
  <c r="E12" i="62"/>
  <c r="E14" i="62"/>
  <c r="E17" i="62"/>
  <c r="E11" i="62"/>
  <c r="E18" i="62"/>
  <c r="E19" i="62"/>
  <c r="C44" i="62"/>
  <c r="E15" i="62"/>
  <c r="E20" i="62"/>
  <c r="E23" i="62"/>
  <c r="E30" i="62"/>
  <c r="E27" i="62"/>
  <c r="I13" i="12"/>
  <c r="I27" i="12"/>
  <c r="I16" i="12"/>
  <c r="I11" i="12"/>
  <c r="I12" i="12"/>
  <c r="I29" i="12"/>
  <c r="I15" i="12"/>
  <c r="I24" i="12"/>
  <c r="I22" i="12"/>
  <c r="I19" i="12"/>
  <c r="I20" i="12"/>
  <c r="I18" i="12"/>
  <c r="I23" i="12"/>
  <c r="I17" i="12"/>
  <c r="I14" i="12"/>
  <c r="I10" i="12"/>
  <c r="I25" i="12"/>
  <c r="I30" i="12"/>
  <c r="E23" i="12"/>
  <c r="E27" i="12"/>
  <c r="E11" i="12"/>
  <c r="E12" i="12"/>
  <c r="E17" i="12"/>
  <c r="E29" i="12"/>
  <c r="E19" i="12"/>
  <c r="E24" i="12"/>
  <c r="E15" i="12"/>
  <c r="E18" i="12"/>
  <c r="E25" i="12"/>
  <c r="E20" i="12"/>
  <c r="E16" i="12"/>
  <c r="E30" i="12"/>
  <c r="E14" i="12"/>
  <c r="E13" i="12"/>
  <c r="E22" i="12"/>
  <c r="S23" i="61" l="1"/>
  <c r="Q23" i="61"/>
  <c r="P23" i="61"/>
  <c r="J22" i="68"/>
  <c r="R22" i="68"/>
  <c r="M19" i="60"/>
  <c r="M19" i="61"/>
  <c r="M30" i="60"/>
  <c r="M30" i="61"/>
  <c r="M18" i="61"/>
  <c r="L23" i="62"/>
  <c r="M23" i="62" s="1"/>
  <c r="M20" i="61"/>
  <c r="M25" i="61"/>
  <c r="M27" i="60"/>
  <c r="L12" i="62"/>
  <c r="M10" i="61"/>
  <c r="L15" i="63"/>
  <c r="M15" i="63" s="1"/>
  <c r="L16" i="63"/>
  <c r="M16" i="63" s="1"/>
  <c r="L30" i="63"/>
  <c r="L15" i="62"/>
  <c r="M15" i="62" s="1"/>
  <c r="L11" i="62"/>
  <c r="M11" i="62" s="1"/>
  <c r="L19" i="62"/>
  <c r="L16" i="62"/>
  <c r="M16" i="62" s="1"/>
  <c r="L13" i="62"/>
  <c r="L14" i="63"/>
  <c r="M14" i="63" s="1"/>
  <c r="L22" i="63"/>
  <c r="M22" i="63" s="1"/>
  <c r="L27" i="63"/>
  <c r="L17" i="63"/>
  <c r="M17" i="63" s="1"/>
  <c r="L19" i="63"/>
  <c r="L27" i="62"/>
  <c r="L24" i="62"/>
  <c r="L25" i="62"/>
  <c r="M25" i="62" s="1"/>
  <c r="L15" i="12"/>
  <c r="L30" i="62"/>
  <c r="L17" i="62"/>
  <c r="L22" i="62"/>
  <c r="M22" i="62" s="1"/>
  <c r="L29" i="63"/>
  <c r="M29" i="63" s="1"/>
  <c r="L20" i="63"/>
  <c r="L24" i="63"/>
  <c r="L14" i="62"/>
  <c r="L25" i="63"/>
  <c r="L20" i="62"/>
  <c r="L18" i="62"/>
  <c r="M18" i="62" s="1"/>
  <c r="L29" i="62"/>
  <c r="M29" i="62" s="1"/>
  <c r="L12" i="63"/>
  <c r="L23" i="63"/>
  <c r="M23" i="63" s="1"/>
  <c r="L18" i="63"/>
  <c r="L10" i="62"/>
  <c r="K12" i="59"/>
  <c r="K29" i="59"/>
  <c r="K24" i="59"/>
  <c r="K27" i="59"/>
  <c r="K23" i="59"/>
  <c r="K16" i="59"/>
  <c r="K30" i="59"/>
  <c r="K25" i="59"/>
  <c r="K22" i="59"/>
  <c r="K14" i="59"/>
  <c r="K20" i="59"/>
  <c r="K18" i="59"/>
  <c r="K17" i="59"/>
  <c r="K10" i="59"/>
  <c r="K19" i="59"/>
  <c r="K11" i="59"/>
  <c r="K13" i="59"/>
  <c r="K15" i="59"/>
  <c r="L10" i="63"/>
  <c r="L13" i="63"/>
  <c r="L11" i="63"/>
  <c r="M11" i="63" s="1"/>
  <c r="M29" i="61"/>
  <c r="M22" i="61"/>
  <c r="M14" i="61"/>
  <c r="M12" i="61"/>
  <c r="M13" i="61"/>
  <c r="M23" i="60"/>
  <c r="M11" i="60"/>
  <c r="M17" i="60"/>
  <c r="M24" i="60"/>
  <c r="M18" i="60"/>
  <c r="M14" i="60"/>
  <c r="M22" i="60"/>
  <c r="M25" i="60"/>
  <c r="M29" i="60"/>
  <c r="M15" i="60"/>
  <c r="M13" i="60"/>
  <c r="M12" i="60"/>
  <c r="M20" i="60"/>
  <c r="M16" i="60"/>
  <c r="L22" i="12"/>
  <c r="L17" i="12"/>
  <c r="L23" i="12"/>
  <c r="L16" i="12"/>
  <c r="L24" i="12"/>
  <c r="M24" i="61"/>
  <c r="M11" i="61"/>
  <c r="M17" i="61"/>
  <c r="L10" i="12"/>
  <c r="M15" i="61"/>
  <c r="M27" i="61"/>
  <c r="M16" i="61"/>
  <c r="L13" i="12"/>
  <c r="L20" i="12"/>
  <c r="L12" i="12"/>
  <c r="L30" i="12"/>
  <c r="L18" i="12"/>
  <c r="L29" i="12"/>
  <c r="L27" i="12"/>
  <c r="L14" i="12"/>
  <c r="L25" i="12"/>
  <c r="L19" i="12"/>
  <c r="L11" i="12"/>
  <c r="I22" i="68"/>
  <c r="B15" i="47"/>
  <c r="I11" i="59"/>
  <c r="I15" i="59"/>
  <c r="I23" i="59"/>
  <c r="I22" i="59"/>
  <c r="I12" i="59"/>
  <c r="I10" i="59"/>
  <c r="I16" i="59"/>
  <c r="I25" i="59"/>
  <c r="I30" i="59"/>
  <c r="I20" i="59"/>
  <c r="C45" i="59"/>
  <c r="I18" i="59"/>
  <c r="I24" i="59"/>
  <c r="I27" i="59"/>
  <c r="I13" i="59"/>
  <c r="I14" i="59"/>
  <c r="I29" i="59"/>
  <c r="I17" i="59"/>
  <c r="I19" i="59"/>
  <c r="G11" i="6"/>
  <c r="S11" i="61" l="1"/>
  <c r="P11" i="61"/>
  <c r="Q11" i="61"/>
  <c r="G19" i="47"/>
  <c r="Q29" i="60"/>
  <c r="P29" i="60"/>
  <c r="S29" i="60"/>
  <c r="Q28" i="68" s="1"/>
  <c r="S22" i="61"/>
  <c r="R21" i="68" s="1"/>
  <c r="P22" i="61"/>
  <c r="Q22" i="61"/>
  <c r="J21" i="68" s="1"/>
  <c r="S16" i="62"/>
  <c r="S15" i="68" s="1"/>
  <c r="Q16" i="62"/>
  <c r="P16" i="62"/>
  <c r="S23" i="62"/>
  <c r="Q23" i="62"/>
  <c r="P23" i="62"/>
  <c r="S22" i="62"/>
  <c r="S21" i="68" s="1"/>
  <c r="Q22" i="62"/>
  <c r="P22" i="62"/>
  <c r="K21" i="68" s="1"/>
  <c r="S24" i="61"/>
  <c r="Q24" i="61"/>
  <c r="J23" i="68" s="1"/>
  <c r="P24" i="61"/>
  <c r="I23" i="68" s="1"/>
  <c r="Q25" i="60"/>
  <c r="H24" i="68" s="1"/>
  <c r="P25" i="60"/>
  <c r="G24" i="68" s="1"/>
  <c r="S25" i="60"/>
  <c r="Q24" i="68" s="1"/>
  <c r="S29" i="61"/>
  <c r="R28" i="68" s="1"/>
  <c r="P29" i="61"/>
  <c r="Q29" i="61"/>
  <c r="J28" i="68" s="1"/>
  <c r="S23" i="63"/>
  <c r="Q23" i="63"/>
  <c r="P23" i="63"/>
  <c r="M22" i="68" s="1"/>
  <c r="S18" i="61"/>
  <c r="R17" i="68" s="1"/>
  <c r="P18" i="61"/>
  <c r="I17" i="68" s="1"/>
  <c r="Q18" i="61"/>
  <c r="B13" i="47"/>
  <c r="S20" i="61"/>
  <c r="R19" i="68" s="1"/>
  <c r="Q20" i="61"/>
  <c r="P20" i="61"/>
  <c r="G14" i="47"/>
  <c r="Q22" i="60"/>
  <c r="P22" i="60"/>
  <c r="G21" i="68" s="1"/>
  <c r="S22" i="60"/>
  <c r="Q21" i="68" s="1"/>
  <c r="S11" i="63"/>
  <c r="T10" i="68" s="1"/>
  <c r="Q11" i="63"/>
  <c r="P11" i="63"/>
  <c r="S11" i="62"/>
  <c r="Q11" i="62"/>
  <c r="L10" i="68" s="1"/>
  <c r="P11" i="62"/>
  <c r="B20" i="47"/>
  <c r="S30" i="61"/>
  <c r="R29" i="68" s="1"/>
  <c r="P30" i="61"/>
  <c r="Q30" i="61"/>
  <c r="J29" i="68" s="1"/>
  <c r="Q14" i="60"/>
  <c r="P14" i="60"/>
  <c r="S14" i="60"/>
  <c r="Q13" i="68" s="1"/>
  <c r="S29" i="62"/>
  <c r="S28" i="68" s="1"/>
  <c r="Q29" i="62"/>
  <c r="L28" i="68" s="1"/>
  <c r="P29" i="62"/>
  <c r="C17" i="47"/>
  <c r="S25" i="62"/>
  <c r="S24" i="68" s="1"/>
  <c r="Q25" i="62"/>
  <c r="P25" i="62"/>
  <c r="S15" i="62"/>
  <c r="S14" i="68" s="1"/>
  <c r="Q15" i="62"/>
  <c r="P15" i="62"/>
  <c r="K14" i="68" s="1"/>
  <c r="Q30" i="60"/>
  <c r="P30" i="60"/>
  <c r="G29" i="68" s="1"/>
  <c r="S30" i="60"/>
  <c r="Q29" i="68" s="1"/>
  <c r="S17" i="61"/>
  <c r="R16" i="68" s="1"/>
  <c r="Q17" i="61"/>
  <c r="J16" i="68" s="1"/>
  <c r="P17" i="61"/>
  <c r="S18" i="60"/>
  <c r="Q17" i="68" s="1"/>
  <c r="Q18" i="60"/>
  <c r="P18" i="60"/>
  <c r="C11" i="47"/>
  <c r="S18" i="62"/>
  <c r="S17" i="68" s="1"/>
  <c r="Q18" i="62"/>
  <c r="P18" i="62"/>
  <c r="S19" i="61"/>
  <c r="R18" i="68" s="1"/>
  <c r="P19" i="61"/>
  <c r="Q19" i="61"/>
  <c r="J18" i="68" s="1"/>
  <c r="S24" i="60"/>
  <c r="Q23" i="68" s="1"/>
  <c r="P24" i="60"/>
  <c r="G23" i="68" s="1"/>
  <c r="Q24" i="60"/>
  <c r="S16" i="63"/>
  <c r="T15" i="68" s="1"/>
  <c r="P16" i="63"/>
  <c r="Q16" i="63"/>
  <c r="N15" i="68" s="1"/>
  <c r="P19" i="60"/>
  <c r="S19" i="60"/>
  <c r="Q18" i="68" s="1"/>
  <c r="Q19" i="60"/>
  <c r="B7" i="47"/>
  <c r="S14" i="61"/>
  <c r="R13" i="68" s="1"/>
  <c r="P14" i="61"/>
  <c r="I13" i="68" s="1"/>
  <c r="Q14" i="61"/>
  <c r="J13" i="68" s="1"/>
  <c r="P17" i="60"/>
  <c r="S17" i="60"/>
  <c r="Q16" i="68" s="1"/>
  <c r="Q17" i="60"/>
  <c r="S15" i="63"/>
  <c r="T14" i="68" s="1"/>
  <c r="Q15" i="63"/>
  <c r="N14" i="68" s="1"/>
  <c r="P15" i="63"/>
  <c r="Q15" i="60"/>
  <c r="P15" i="60"/>
  <c r="S15" i="60"/>
  <c r="Q14" i="68" s="1"/>
  <c r="S16" i="61"/>
  <c r="R15" i="68" s="1"/>
  <c r="Q16" i="61"/>
  <c r="J15" i="68" s="1"/>
  <c r="P16" i="61"/>
  <c r="I15" i="68" s="1"/>
  <c r="Q16" i="60"/>
  <c r="P16" i="60"/>
  <c r="S16" i="60"/>
  <c r="Q15" i="68" s="1"/>
  <c r="Q11" i="60"/>
  <c r="P11" i="60"/>
  <c r="S11" i="60"/>
  <c r="Q10" i="68" s="1"/>
  <c r="S17" i="63"/>
  <c r="T16" i="68" s="1"/>
  <c r="Q17" i="63"/>
  <c r="P17" i="63"/>
  <c r="S10" i="61"/>
  <c r="P10" i="61"/>
  <c r="Q10" i="61"/>
  <c r="S27" i="61"/>
  <c r="R26" i="68" s="1"/>
  <c r="P27" i="61"/>
  <c r="Q27" i="61"/>
  <c r="J26" i="68" s="1"/>
  <c r="G13" i="47"/>
  <c r="S20" i="60"/>
  <c r="Q19" i="68" s="1"/>
  <c r="Q20" i="60"/>
  <c r="P20" i="60"/>
  <c r="P23" i="60"/>
  <c r="G22" i="68" s="1"/>
  <c r="S23" i="60"/>
  <c r="Q22" i="68" s="1"/>
  <c r="Q23" i="60"/>
  <c r="B8" i="47"/>
  <c r="S15" i="61"/>
  <c r="R14" i="68" s="1"/>
  <c r="Q15" i="61"/>
  <c r="P15" i="61"/>
  <c r="I14" i="68" s="1"/>
  <c r="Q12" i="60"/>
  <c r="P12" i="60"/>
  <c r="S12" i="60"/>
  <c r="Q11" i="68" s="1"/>
  <c r="S13" i="61"/>
  <c r="Q13" i="61"/>
  <c r="P13" i="61"/>
  <c r="I12" i="68" s="1"/>
  <c r="S22" i="63"/>
  <c r="T21" i="68" s="1"/>
  <c r="Q22" i="63"/>
  <c r="P22" i="63"/>
  <c r="M21" i="68" s="1"/>
  <c r="G18" i="47"/>
  <c r="Q27" i="60"/>
  <c r="H26" i="68" s="1"/>
  <c r="P27" i="60"/>
  <c r="S27" i="60"/>
  <c r="Q26" i="68" s="1"/>
  <c r="Q13" i="60"/>
  <c r="P13" i="60"/>
  <c r="S13" i="60"/>
  <c r="Q12" i="68" s="1"/>
  <c r="S12" i="61"/>
  <c r="R11" i="68" s="1"/>
  <c r="Q12" i="61"/>
  <c r="J11" i="68" s="1"/>
  <c r="P12" i="61"/>
  <c r="I11" i="68" s="1"/>
  <c r="S29" i="63"/>
  <c r="T28" i="68" s="1"/>
  <c r="Q29" i="63"/>
  <c r="N28" i="68" s="1"/>
  <c r="P29" i="63"/>
  <c r="S14" i="63"/>
  <c r="T13" i="68" s="1"/>
  <c r="Q14" i="63"/>
  <c r="P14" i="63"/>
  <c r="B17" i="47"/>
  <c r="S25" i="61"/>
  <c r="R24" i="68" s="1"/>
  <c r="Q25" i="61"/>
  <c r="J24" i="68" s="1"/>
  <c r="P25" i="61"/>
  <c r="I24" i="68" s="1"/>
  <c r="L22" i="68"/>
  <c r="S22" i="68"/>
  <c r="R23" i="68"/>
  <c r="C9" i="47"/>
  <c r="B6" i="47"/>
  <c r="R12" i="68"/>
  <c r="B4" i="47"/>
  <c r="R10" i="68"/>
  <c r="C4" i="47"/>
  <c r="S10" i="68"/>
  <c r="I18" i="68"/>
  <c r="B12" i="47"/>
  <c r="B11" i="47"/>
  <c r="M19" i="62"/>
  <c r="M19" i="12"/>
  <c r="M19" i="63"/>
  <c r="I29" i="68"/>
  <c r="H29" i="68"/>
  <c r="G20" i="47"/>
  <c r="M30" i="63"/>
  <c r="M30" i="62"/>
  <c r="J17" i="68"/>
  <c r="M12" i="62"/>
  <c r="J19" i="68"/>
  <c r="I19" i="68"/>
  <c r="G26" i="68"/>
  <c r="M14" i="62"/>
  <c r="G17" i="47"/>
  <c r="M15" i="12"/>
  <c r="B3" i="47"/>
  <c r="M10" i="63"/>
  <c r="M27" i="63"/>
  <c r="M27" i="12"/>
  <c r="M10" i="12"/>
  <c r="M27" i="62"/>
  <c r="M10" i="62"/>
  <c r="M12" i="63"/>
  <c r="M25" i="63"/>
  <c r="M13" i="62"/>
  <c r="I28" i="68"/>
  <c r="H23" i="68"/>
  <c r="G16" i="47"/>
  <c r="M20" i="62"/>
  <c r="B19" i="47"/>
  <c r="J12" i="68"/>
  <c r="M20" i="63"/>
  <c r="M18" i="63"/>
  <c r="M17" i="62"/>
  <c r="M24" i="62"/>
  <c r="B14" i="47"/>
  <c r="M24" i="63"/>
  <c r="B18" i="47"/>
  <c r="B5" i="47"/>
  <c r="I21" i="68"/>
  <c r="M13" i="63"/>
  <c r="G15" i="47"/>
  <c r="G28" i="68"/>
  <c r="H19" i="68"/>
  <c r="B16" i="47"/>
  <c r="I26" i="68"/>
  <c r="J10" i="68"/>
  <c r="I10" i="68"/>
  <c r="G19" i="68"/>
  <c r="H28" i="68"/>
  <c r="H21" i="68"/>
  <c r="H22" i="68"/>
  <c r="M25" i="12"/>
  <c r="M18" i="12"/>
  <c r="M13" i="12"/>
  <c r="M17" i="12"/>
  <c r="M12" i="12"/>
  <c r="M16" i="12"/>
  <c r="M14" i="12"/>
  <c r="M24" i="12"/>
  <c r="M29" i="12"/>
  <c r="M20" i="12"/>
  <c r="M23" i="12"/>
  <c r="M22" i="12"/>
  <c r="B10" i="47"/>
  <c r="J14" i="68"/>
  <c r="I16" i="68"/>
  <c r="B9" i="47"/>
  <c r="M11" i="12"/>
  <c r="M30" i="12"/>
  <c r="N21" i="68"/>
  <c r="D14" i="47"/>
  <c r="N13" i="68"/>
  <c r="M13" i="68"/>
  <c r="D7" i="47"/>
  <c r="M14" i="68"/>
  <c r="D8" i="47"/>
  <c r="M15" i="68"/>
  <c r="D9" i="47"/>
  <c r="D15" i="47"/>
  <c r="N22" i="68"/>
  <c r="D19" i="47"/>
  <c r="D4" i="47"/>
  <c r="N10" i="68"/>
  <c r="M10" i="68"/>
  <c r="D10" i="47"/>
  <c r="M16" i="68"/>
  <c r="N16" i="68"/>
  <c r="K28" i="68"/>
  <c r="C19" i="47"/>
  <c r="L24" i="68"/>
  <c r="K24" i="68"/>
  <c r="L17" i="68"/>
  <c r="K17" i="68"/>
  <c r="L21" i="68"/>
  <c r="C14" i="47"/>
  <c r="K15" i="68"/>
  <c r="K22" i="68"/>
  <c r="C8" i="47"/>
  <c r="L14" i="68"/>
  <c r="K10" i="68"/>
  <c r="C15" i="47"/>
  <c r="E24" i="59"/>
  <c r="E11" i="59"/>
  <c r="E18" i="59"/>
  <c r="E19" i="59"/>
  <c r="E16" i="59"/>
  <c r="E30" i="59"/>
  <c r="E27" i="59"/>
  <c r="E15" i="59"/>
  <c r="E13" i="59"/>
  <c r="E20" i="59"/>
  <c r="E25" i="59"/>
  <c r="E12" i="59"/>
  <c r="C44" i="59"/>
  <c r="E22" i="59"/>
  <c r="E29" i="59"/>
  <c r="E23" i="59"/>
  <c r="E14" i="59"/>
  <c r="E10" i="59"/>
  <c r="E17" i="59"/>
  <c r="E12" i="47" l="1"/>
  <c r="S19" i="12"/>
  <c r="O18" i="68" s="1"/>
  <c r="P19" i="12"/>
  <c r="Q19" i="12"/>
  <c r="Q30" i="12"/>
  <c r="D29" i="68" s="1"/>
  <c r="P30" i="12"/>
  <c r="S30" i="12"/>
  <c r="O29" i="68" s="1"/>
  <c r="E16" i="47"/>
  <c r="Q24" i="12"/>
  <c r="D23" i="68" s="1"/>
  <c r="S24" i="12"/>
  <c r="O23" i="68" s="1"/>
  <c r="P24" i="12"/>
  <c r="C23" i="68" s="1"/>
  <c r="S20" i="62"/>
  <c r="S19" i="68" s="1"/>
  <c r="P20" i="62"/>
  <c r="Q20" i="62"/>
  <c r="L19" i="68" s="1"/>
  <c r="P27" i="12"/>
  <c r="Q27" i="12"/>
  <c r="D26" i="68" s="1"/>
  <c r="S27" i="12"/>
  <c r="O26" i="68" s="1"/>
  <c r="Q20" i="12"/>
  <c r="D19" i="68" s="1"/>
  <c r="P20" i="12"/>
  <c r="C19" i="68" s="1"/>
  <c r="S20" i="12"/>
  <c r="O19" i="68" s="1"/>
  <c r="S11" i="12"/>
  <c r="P11" i="12"/>
  <c r="Q11" i="12"/>
  <c r="D10" i="68" s="1"/>
  <c r="P14" i="12"/>
  <c r="C13" i="68" s="1"/>
  <c r="S14" i="12"/>
  <c r="O13" i="68" s="1"/>
  <c r="Q14" i="12"/>
  <c r="S27" i="63"/>
  <c r="T26" i="68" s="1"/>
  <c r="Q27" i="63"/>
  <c r="P27" i="63"/>
  <c r="M26" i="68" s="1"/>
  <c r="S12" i="62"/>
  <c r="S11" i="68" s="1"/>
  <c r="Q12" i="62"/>
  <c r="P12" i="62"/>
  <c r="S16" i="12"/>
  <c r="O15" i="68" s="1"/>
  <c r="Q16" i="12"/>
  <c r="D15" i="68" s="1"/>
  <c r="P16" i="12"/>
  <c r="C15" i="68" s="1"/>
  <c r="S24" i="63"/>
  <c r="T23" i="68" s="1"/>
  <c r="P24" i="63"/>
  <c r="Q24" i="63"/>
  <c r="S10" i="63"/>
  <c r="P10" i="63"/>
  <c r="Q10" i="63"/>
  <c r="Q10" i="12"/>
  <c r="S10" i="12"/>
  <c r="P10" i="12"/>
  <c r="S12" i="12"/>
  <c r="O11" i="68" s="1"/>
  <c r="P12" i="12"/>
  <c r="Q12" i="12"/>
  <c r="D11" i="68" s="1"/>
  <c r="Q17" i="12"/>
  <c r="D16" i="68" s="1"/>
  <c r="S17" i="12"/>
  <c r="O16" i="68" s="1"/>
  <c r="P17" i="12"/>
  <c r="C16" i="68" s="1"/>
  <c r="S24" i="62"/>
  <c r="Q24" i="62"/>
  <c r="L23" i="68" s="1"/>
  <c r="P24" i="62"/>
  <c r="K23" i="68" s="1"/>
  <c r="S30" i="62"/>
  <c r="S29" i="68" s="1"/>
  <c r="Q30" i="62"/>
  <c r="P30" i="62"/>
  <c r="K29" i="68" s="1"/>
  <c r="S13" i="12"/>
  <c r="P13" i="12"/>
  <c r="Q13" i="12"/>
  <c r="D12" i="68" s="1"/>
  <c r="S27" i="62"/>
  <c r="S26" i="68" s="1"/>
  <c r="P27" i="62"/>
  <c r="K26" i="68" s="1"/>
  <c r="Q27" i="62"/>
  <c r="L26" i="68" s="1"/>
  <c r="Q29" i="12"/>
  <c r="D28" i="68" s="1"/>
  <c r="P29" i="12"/>
  <c r="S29" i="12"/>
  <c r="O28" i="68" s="1"/>
  <c r="C10" i="47"/>
  <c r="S17" i="62"/>
  <c r="S16" i="68" s="1"/>
  <c r="P17" i="62"/>
  <c r="Q17" i="62"/>
  <c r="Q18" i="12"/>
  <c r="D17" i="68" s="1"/>
  <c r="S18" i="12"/>
  <c r="P18" i="12"/>
  <c r="S18" i="63"/>
  <c r="T17" i="68" s="1"/>
  <c r="P18" i="63"/>
  <c r="Q18" i="63"/>
  <c r="N17" i="68" s="1"/>
  <c r="S13" i="62"/>
  <c r="Q13" i="62"/>
  <c r="P13" i="62"/>
  <c r="K12" i="68" s="1"/>
  <c r="E17" i="47"/>
  <c r="Q25" i="12"/>
  <c r="P25" i="12"/>
  <c r="C24" i="68" s="1"/>
  <c r="S25" i="12"/>
  <c r="O24" i="68" s="1"/>
  <c r="S20" i="63"/>
  <c r="T19" i="68" s="1"/>
  <c r="P20" i="63"/>
  <c r="M19" i="68" s="1"/>
  <c r="Q20" i="63"/>
  <c r="N19" i="68" s="1"/>
  <c r="S25" i="63"/>
  <c r="T24" i="68" s="1"/>
  <c r="Q25" i="63"/>
  <c r="N24" i="68" s="1"/>
  <c r="P25" i="63"/>
  <c r="S13" i="63"/>
  <c r="T12" i="68" s="1"/>
  <c r="P13" i="63"/>
  <c r="Q13" i="63"/>
  <c r="E8" i="47"/>
  <c r="P15" i="12"/>
  <c r="C14" i="68" s="1"/>
  <c r="S15" i="12"/>
  <c r="O14" i="68" s="1"/>
  <c r="Q15" i="12"/>
  <c r="D14" i="68" s="1"/>
  <c r="E14" i="47"/>
  <c r="Q22" i="12"/>
  <c r="P22" i="12"/>
  <c r="S22" i="12"/>
  <c r="O21" i="68" s="1"/>
  <c r="S12" i="63"/>
  <c r="P12" i="63"/>
  <c r="M11" i="68" s="1"/>
  <c r="Q12" i="63"/>
  <c r="N11" i="68" s="1"/>
  <c r="S14" i="62"/>
  <c r="S13" i="68" s="1"/>
  <c r="P14" i="62"/>
  <c r="K13" i="68" s="1"/>
  <c r="Q14" i="62"/>
  <c r="L13" i="68" s="1"/>
  <c r="C12" i="47"/>
  <c r="S19" i="62"/>
  <c r="S18" i="68" s="1"/>
  <c r="P19" i="62"/>
  <c r="Q19" i="62"/>
  <c r="D20" i="47"/>
  <c r="S30" i="63"/>
  <c r="T29" i="68" s="1"/>
  <c r="P30" i="63"/>
  <c r="Q30" i="63"/>
  <c r="N29" i="68" s="1"/>
  <c r="E15" i="47"/>
  <c r="S23" i="12"/>
  <c r="O22" i="68" s="1"/>
  <c r="P23" i="12"/>
  <c r="C22" i="68" s="1"/>
  <c r="Q23" i="12"/>
  <c r="D22" i="68" s="1"/>
  <c r="S10" i="62"/>
  <c r="Q10" i="62"/>
  <c r="P10" i="62"/>
  <c r="S19" i="63"/>
  <c r="T18" i="68" s="1"/>
  <c r="P19" i="63"/>
  <c r="M18" i="68" s="1"/>
  <c r="Q19" i="63"/>
  <c r="N18" i="68" s="1"/>
  <c r="M23" i="68"/>
  <c r="S23" i="68"/>
  <c r="E6" i="47"/>
  <c r="O12" i="68"/>
  <c r="C6" i="47"/>
  <c r="S12" i="68"/>
  <c r="C3" i="47"/>
  <c r="E5" i="47"/>
  <c r="E4" i="47"/>
  <c r="O10" i="68"/>
  <c r="K11" i="68"/>
  <c r="T11" i="68"/>
  <c r="D6" i="47"/>
  <c r="T9" i="68"/>
  <c r="E7" i="47"/>
  <c r="K18" i="68"/>
  <c r="L18" i="68"/>
  <c r="D18" i="68"/>
  <c r="C18" i="68"/>
  <c r="D12" i="47"/>
  <c r="L29" i="68"/>
  <c r="M29" i="68"/>
  <c r="M24" i="68"/>
  <c r="C20" i="47"/>
  <c r="N23" i="68"/>
  <c r="C5" i="47"/>
  <c r="L11" i="68"/>
  <c r="C7" i="47"/>
  <c r="E3" i="47"/>
  <c r="D18" i="47"/>
  <c r="N26" i="68"/>
  <c r="L12" i="68"/>
  <c r="E11" i="47"/>
  <c r="C17" i="68"/>
  <c r="E9" i="47"/>
  <c r="E13" i="47"/>
  <c r="C26" i="68"/>
  <c r="E10" i="47"/>
  <c r="C18" i="47"/>
  <c r="D13" i="68"/>
  <c r="D21" i="68"/>
  <c r="E18" i="47"/>
  <c r="D3" i="47"/>
  <c r="D5" i="47"/>
  <c r="C11" i="68"/>
  <c r="K19" i="68"/>
  <c r="C12" i="68"/>
  <c r="D11" i="47"/>
  <c r="D17" i="47"/>
  <c r="C28" i="68"/>
  <c r="E19" i="47"/>
  <c r="M17" i="68"/>
  <c r="C13" i="47"/>
  <c r="D24" i="68"/>
  <c r="C21" i="68"/>
  <c r="D13" i="47"/>
  <c r="L16" i="68"/>
  <c r="K16" i="68"/>
  <c r="C16" i="47"/>
  <c r="D16" i="47"/>
  <c r="N12" i="68"/>
  <c r="M12" i="68"/>
  <c r="C29" i="68"/>
  <c r="E20" i="47"/>
  <c r="C10" i="68"/>
  <c r="L12" i="59"/>
  <c r="L17" i="59"/>
  <c r="L29" i="59"/>
  <c r="L25" i="59"/>
  <c r="L27" i="59"/>
  <c r="L18" i="59"/>
  <c r="L15" i="59"/>
  <c r="L10" i="59"/>
  <c r="L22" i="59"/>
  <c r="L20" i="59"/>
  <c r="L30" i="59"/>
  <c r="L11" i="59"/>
  <c r="L23" i="59"/>
  <c r="L19" i="59"/>
  <c r="L14" i="59"/>
  <c r="L13" i="59"/>
  <c r="L16" i="59"/>
  <c r="L24" i="59"/>
  <c r="M19" i="59" l="1"/>
  <c r="M30" i="59"/>
  <c r="M10" i="59"/>
  <c r="M27" i="59"/>
  <c r="M29" i="59"/>
  <c r="M23" i="59"/>
  <c r="M25" i="59"/>
  <c r="M24" i="59"/>
  <c r="M22" i="59"/>
  <c r="M11" i="59"/>
  <c r="M20" i="59"/>
  <c r="M13" i="59"/>
  <c r="M14" i="59"/>
  <c r="M15" i="59"/>
  <c r="M17" i="59"/>
  <c r="M18" i="59"/>
  <c r="M16" i="59"/>
  <c r="M12" i="59"/>
  <c r="Q22" i="59" l="1"/>
  <c r="S22" i="59"/>
  <c r="P21" i="68" s="1"/>
  <c r="P22" i="59"/>
  <c r="E21" i="68" s="1"/>
  <c r="S29" i="59"/>
  <c r="P28" i="68" s="1"/>
  <c r="Q29" i="59"/>
  <c r="P29" i="59"/>
  <c r="E28" i="68" s="1"/>
  <c r="Q11" i="59"/>
  <c r="P11" i="59"/>
  <c r="S11" i="59"/>
  <c r="P10" i="68" s="1"/>
  <c r="S12" i="59"/>
  <c r="P11" i="68" s="1"/>
  <c r="Q12" i="59"/>
  <c r="P12" i="59"/>
  <c r="E11" i="68" s="1"/>
  <c r="Q27" i="59"/>
  <c r="F26" i="68" s="1"/>
  <c r="S27" i="59"/>
  <c r="P26" i="68" s="1"/>
  <c r="P27" i="59"/>
  <c r="Q20" i="59"/>
  <c r="F19" i="68" s="1"/>
  <c r="P20" i="59"/>
  <c r="S20" i="59"/>
  <c r="P19" i="68" s="1"/>
  <c r="S25" i="59"/>
  <c r="P24" i="68" s="1"/>
  <c r="Q25" i="59"/>
  <c r="P25" i="59"/>
  <c r="E24" i="68" s="1"/>
  <c r="F9" i="47"/>
  <c r="Q16" i="59"/>
  <c r="F15" i="68" s="1"/>
  <c r="P16" i="59"/>
  <c r="E15" i="68" s="1"/>
  <c r="S16" i="59"/>
  <c r="P15" i="68" s="1"/>
  <c r="S17" i="59"/>
  <c r="P16" i="68" s="1"/>
  <c r="P17" i="59"/>
  <c r="E16" i="68" s="1"/>
  <c r="Q17" i="59"/>
  <c r="S10" i="59"/>
  <c r="Q10" i="59"/>
  <c r="P10" i="59"/>
  <c r="P13" i="59"/>
  <c r="E12" i="68" s="1"/>
  <c r="S13" i="59"/>
  <c r="P12" i="68" s="1"/>
  <c r="Q13" i="59"/>
  <c r="F12" i="68" s="1"/>
  <c r="Q24" i="59"/>
  <c r="F23" i="68" s="1"/>
  <c r="S24" i="59"/>
  <c r="P23" i="68" s="1"/>
  <c r="P24" i="59"/>
  <c r="P23" i="59"/>
  <c r="E22" i="68" s="1"/>
  <c r="S23" i="59"/>
  <c r="P22" i="68" s="1"/>
  <c r="Q23" i="59"/>
  <c r="Q18" i="59"/>
  <c r="F17" i="68" s="1"/>
  <c r="P18" i="59"/>
  <c r="E17" i="68" s="1"/>
  <c r="S18" i="59"/>
  <c r="F8" i="47"/>
  <c r="Q15" i="59"/>
  <c r="F14" i="68" s="1"/>
  <c r="P15" i="59"/>
  <c r="E14" i="68" s="1"/>
  <c r="S15" i="59"/>
  <c r="P14" i="68" s="1"/>
  <c r="F20" i="47"/>
  <c r="Q30" i="59"/>
  <c r="F29" i="68" s="1"/>
  <c r="S30" i="59"/>
  <c r="P29" i="68" s="1"/>
  <c r="P30" i="59"/>
  <c r="E29" i="68" s="1"/>
  <c r="S14" i="59"/>
  <c r="P13" i="68" s="1"/>
  <c r="Q14" i="59"/>
  <c r="F13" i="68" s="1"/>
  <c r="P14" i="59"/>
  <c r="E13" i="68" s="1"/>
  <c r="F12" i="47"/>
  <c r="P19" i="59"/>
  <c r="E18" i="68" s="1"/>
  <c r="Q19" i="59"/>
  <c r="F18" i="68" s="1"/>
  <c r="S19" i="59"/>
  <c r="P18" i="68" s="1"/>
  <c r="E10" i="68"/>
  <c r="F3" i="47"/>
  <c r="F7" i="47"/>
  <c r="F21" i="68"/>
  <c r="F24" i="68"/>
  <c r="F18" i="47"/>
  <c r="E26" i="68"/>
  <c r="F4" i="47"/>
  <c r="F5" i="47"/>
  <c r="F16" i="47"/>
  <c r="F17" i="47"/>
  <c r="F14" i="47"/>
  <c r="F16" i="68"/>
  <c r="F10" i="47"/>
  <c r="F13" i="47"/>
  <c r="F10" i="68"/>
  <c r="F15" i="47"/>
  <c r="F11" i="47"/>
  <c r="F6" i="47"/>
  <c r="F11" i="68"/>
  <c r="F22" i="68"/>
  <c r="E23" i="68"/>
  <c r="F19" i="47"/>
  <c r="F28" i="68"/>
  <c r="E19" i="68"/>
  <c r="G9" i="47"/>
  <c r="G11" i="68"/>
  <c r="G11" i="47"/>
  <c r="G4" i="47"/>
  <c r="G12" i="47"/>
  <c r="G6" i="47"/>
  <c r="G12" i="68"/>
  <c r="M10" i="60"/>
  <c r="Q10" i="60" l="1"/>
  <c r="S10" i="60"/>
  <c r="P10" i="60"/>
  <c r="H18" i="68"/>
  <c r="H16" i="68"/>
  <c r="G10" i="47"/>
  <c r="G16" i="68"/>
  <c r="G8" i="47"/>
  <c r="H14" i="68"/>
  <c r="G14" i="68"/>
  <c r="G7" i="47"/>
  <c r="H13" i="68"/>
  <c r="G13" i="68"/>
  <c r="H17" i="68"/>
  <c r="G18" i="68"/>
  <c r="G15" i="68"/>
  <c r="H12" i="68"/>
  <c r="G5" i="47"/>
  <c r="H15" i="68"/>
  <c r="G10" i="68"/>
  <c r="G3" i="47"/>
  <c r="H10" i="68"/>
  <c r="G17" i="68"/>
  <c r="H11" i="68"/>
</calcChain>
</file>

<file path=xl/sharedStrings.xml><?xml version="1.0" encoding="utf-8"?>
<sst xmlns="http://schemas.openxmlformats.org/spreadsheetml/2006/main" count="2605" uniqueCount="550">
  <si>
    <t>--</t>
  </si>
  <si>
    <t>Notes:</t>
  </si>
  <si>
    <t>Units</t>
  </si>
  <si>
    <t>Parameter</t>
  </si>
  <si>
    <t>Parameter Definition</t>
  </si>
  <si>
    <t>BW</t>
  </si>
  <si>
    <t>Body Weight</t>
  </si>
  <si>
    <t>[1]</t>
  </si>
  <si>
    <t>kg, dw/day</t>
  </si>
  <si>
    <t>Proportion of Diet - Vegetation</t>
  </si>
  <si>
    <t>HR</t>
  </si>
  <si>
    <t>Home Range</t>
  </si>
  <si>
    <t>acres</t>
  </si>
  <si>
    <t>Total Site Area</t>
  </si>
  <si>
    <t>AUF</t>
  </si>
  <si>
    <t>proportion</t>
  </si>
  <si>
    <t>Site</t>
  </si>
  <si>
    <t>RB</t>
  </si>
  <si>
    <t>mg/kg-day</t>
  </si>
  <si>
    <t>unitless</t>
  </si>
  <si>
    <t>Proportion of Diet -- Vegetation</t>
  </si>
  <si>
    <t>kg/day</t>
  </si>
  <si>
    <t>Abbreviations:</t>
  </si>
  <si>
    <t>Avian Consumer
(Herbivore)</t>
  </si>
  <si>
    <t>Mammalian Consumer
(Herbivore)</t>
  </si>
  <si>
    <t xml:space="preserve">Area Use Factor </t>
  </si>
  <si>
    <t>kg</t>
  </si>
  <si>
    <t>Daily Food Ingestion Rate (dry matter)</t>
  </si>
  <si>
    <t>Receptor:</t>
  </si>
  <si>
    <t>Mam1</t>
  </si>
  <si>
    <t>Mam2</t>
  </si>
  <si>
    <t>Bird1</t>
  </si>
  <si>
    <t>Bird2</t>
  </si>
  <si>
    <t>Bird3</t>
  </si>
  <si>
    <t xml:space="preserve">Birds </t>
  </si>
  <si>
    <t>Mam3</t>
  </si>
  <si>
    <t>EPCs</t>
  </si>
  <si>
    <t>PFOS</t>
  </si>
  <si>
    <t>PFOA</t>
  </si>
  <si>
    <t>Daily Food Ingestion Rate (wet matter)</t>
  </si>
  <si>
    <t>kg, ww/day</t>
  </si>
  <si>
    <t>Table 1: Exposure Factors for Selected Receptors</t>
  </si>
  <si>
    <t>Exposure Point Concentration for each media</t>
  </si>
  <si>
    <t>kg diet item, ww/kg diet, ww</t>
  </si>
  <si>
    <t>PFAS</t>
  </si>
  <si>
    <t>dw - dry weight</t>
  </si>
  <si>
    <t>EPC - exposure point concentration</t>
  </si>
  <si>
    <t>ww - wet weight</t>
  </si>
  <si>
    <t>EPC - Exposure Point Concentration</t>
  </si>
  <si>
    <t>TRV - Toxicity Reference Value</t>
  </si>
  <si>
    <t>kg - kilogram</t>
  </si>
  <si>
    <t>Variable Description</t>
  </si>
  <si>
    <t>Analyte</t>
  </si>
  <si>
    <t>Value</t>
  </si>
  <si>
    <t>Abbreviation Log:</t>
  </si>
  <si>
    <t>Site Area (acres):</t>
  </si>
  <si>
    <t>Bird 1</t>
  </si>
  <si>
    <t>Bird 3</t>
  </si>
  <si>
    <t>[2]</t>
  </si>
  <si>
    <t>PFBA</t>
  </si>
  <si>
    <t>PFPeA</t>
  </si>
  <si>
    <t>PFHxA</t>
  </si>
  <si>
    <t>PFHpA</t>
  </si>
  <si>
    <t>PFNA</t>
  </si>
  <si>
    <t>PFDA</t>
  </si>
  <si>
    <t xml:space="preserve">PFUnDA </t>
  </si>
  <si>
    <t xml:space="preserve">PFDoDA </t>
  </si>
  <si>
    <t xml:space="preserve">PFTrDA </t>
  </si>
  <si>
    <t xml:space="preserve">PFTeDA </t>
  </si>
  <si>
    <t xml:space="preserve">PFBS </t>
  </si>
  <si>
    <t xml:space="preserve">PFHxS </t>
  </si>
  <si>
    <t>PFDS</t>
  </si>
  <si>
    <t>PFOSA</t>
  </si>
  <si>
    <t>N-EtFOSAA</t>
  </si>
  <si>
    <t>N-MeFOSAA</t>
  </si>
  <si>
    <t>PFCAs</t>
  </si>
  <si>
    <t>PFSAs</t>
  </si>
  <si>
    <t>FASAs</t>
  </si>
  <si>
    <t>EtFASAAs and MeFASAAs</t>
  </si>
  <si>
    <t>Source</t>
  </si>
  <si>
    <t>Invertebrates</t>
  </si>
  <si>
    <t>Plant</t>
  </si>
  <si>
    <t>User Input TRV Value</t>
  </si>
  <si>
    <t>High TRV</t>
  </si>
  <si>
    <t>Low TRV</t>
  </si>
  <si>
    <t>TRV for Birds (mg/kg-day)</t>
  </si>
  <si>
    <t>TRV for Mammals (mg/kg-day)</t>
  </si>
  <si>
    <t>Reference</t>
  </si>
  <si>
    <t xml:space="preserve"> Reference</t>
  </si>
  <si>
    <t>Basis</t>
  </si>
  <si>
    <t>User Input TRV Value Notes or Rationale</t>
  </si>
  <si>
    <t>ng/kg dw</t>
  </si>
  <si>
    <r>
      <t>P</t>
    </r>
    <r>
      <rPr>
        <vertAlign val="subscript"/>
        <sz val="10"/>
        <rFont val="Arial"/>
        <family val="2"/>
      </rPr>
      <t>veg</t>
    </r>
  </si>
  <si>
    <r>
      <t>P</t>
    </r>
    <r>
      <rPr>
        <vertAlign val="subscript"/>
        <sz val="10"/>
        <rFont val="Arial"/>
        <family val="2"/>
      </rPr>
      <t>so</t>
    </r>
  </si>
  <si>
    <t>95 UCL</t>
  </si>
  <si>
    <t>Max</t>
  </si>
  <si>
    <t>No effect on survival in rats</t>
  </si>
  <si>
    <t>Klaunig et al. (2015),</t>
  </si>
  <si>
    <t>14% control-adjusted decrease in survival in rats</t>
  </si>
  <si>
    <t>Butenhoff et al. (2012)</t>
  </si>
  <si>
    <t>Harris and Birnbaum (1989)</t>
  </si>
  <si>
    <t>Takahashi et al. (2014)</t>
  </si>
  <si>
    <t>No effect on growth (body weight) in rats</t>
  </si>
  <si>
    <t>10% control-adjusted decrease in growth (body weight) in rats</t>
  </si>
  <si>
    <t>No effect on reproduction (# live pups) in mice</t>
  </si>
  <si>
    <t>46% control-adjusted decrease in reproduction (# live pups) in mice</t>
  </si>
  <si>
    <t>No effect on growth (fetal body weight per litter) in pregnant mice</t>
  </si>
  <si>
    <t>No effect on growth (body weight in adults and pups) in rats</t>
  </si>
  <si>
    <t>Kato et al. (2015)</t>
  </si>
  <si>
    <t>13-19% control-adjusted decrease in growth (body weight of pups) in rats</t>
  </si>
  <si>
    <t>20-40% control-adjusted decrease in growth (body weight in adults and pups) in rats</t>
  </si>
  <si>
    <t>Hirata-Koizumi et al. (2015)</t>
  </si>
  <si>
    <t>8-18% control-adjusted decrease in growth (body weight of pups) in rats</t>
  </si>
  <si>
    <t>Lieder et al. (2009b)</t>
  </si>
  <si>
    <t>8% control-adjusted decrease in growth (body weight) in rats</t>
  </si>
  <si>
    <t>Chang et al. (2018)</t>
  </si>
  <si>
    <t>No effect on reproduction (litter size) in mice</t>
  </si>
  <si>
    <t>14% control-adjusted decrease in reproduction (litter size) in mice</t>
  </si>
  <si>
    <t>No effect on growth (body weight gain) in rats</t>
  </si>
  <si>
    <t>14% control-adjusted decrease in growth (body weight gain) in mice</t>
  </si>
  <si>
    <t>No effect on growth (body weight) of northern bobwhite quail</t>
  </si>
  <si>
    <t>16% control-adjusted decrease in survival of northern bobwhite quail</t>
  </si>
  <si>
    <t>No true 'no effect' values were available. 
17% control-adjusted decrease in reproduction (14-day old survivors/eggs set) for northern bobwhite quail</t>
  </si>
  <si>
    <t>Description</t>
  </si>
  <si>
    <t>Table Titles:</t>
  </si>
  <si>
    <t>Exposure Factors</t>
  </si>
  <si>
    <t>BioaccumuParams</t>
  </si>
  <si>
    <t>Site Specific</t>
  </si>
  <si>
    <t>None</t>
  </si>
  <si>
    <t>Select data gap approach; add user specified TRVs</t>
  </si>
  <si>
    <t>OPTIONAL:  To apply the TRVs for PFOS to all data gaps type "Yes" in green cell:</t>
  </si>
  <si>
    <t>ng/kg ww</t>
  </si>
  <si>
    <r>
      <t>FIR</t>
    </r>
    <r>
      <rPr>
        <vertAlign val="subscript"/>
        <sz val="10"/>
        <rFont val="Arial"/>
        <family val="2"/>
      </rPr>
      <t>ww</t>
    </r>
  </si>
  <si>
    <r>
      <t>FIR</t>
    </r>
    <r>
      <rPr>
        <vertAlign val="subscript"/>
        <sz val="10"/>
        <rFont val="Arial"/>
        <family val="2"/>
      </rPr>
      <t>dw</t>
    </r>
  </si>
  <si>
    <t>ng/kg-day</t>
  </si>
  <si>
    <t>User-selected TRV</t>
  </si>
  <si>
    <t>see above</t>
  </si>
  <si>
    <t xml:space="preserve">Table 2: Bioaccumulation Parameters </t>
  </si>
  <si>
    <t xml:space="preserve">Table 4: Exposure Point Concentrations for All Media  </t>
  </si>
  <si>
    <t>TRVs_birds</t>
  </si>
  <si>
    <t>TRVs_mammals</t>
  </si>
  <si>
    <t>B1</t>
  </si>
  <si>
    <t>B2</t>
  </si>
  <si>
    <t>B3</t>
  </si>
  <si>
    <t>Bird 2</t>
  </si>
  <si>
    <t>Mammal 1</t>
  </si>
  <si>
    <t>Mammal 2</t>
  </si>
  <si>
    <t>Mammal 3</t>
  </si>
  <si>
    <t>gram</t>
  </si>
  <si>
    <t>g</t>
  </si>
  <si>
    <t>OC</t>
  </si>
  <si>
    <t>Organic carbon</t>
  </si>
  <si>
    <t>ww</t>
  </si>
  <si>
    <t>wet weight</t>
  </si>
  <si>
    <t>kg sediment, dw/kg diet, dw</t>
  </si>
  <si>
    <r>
      <t xml:space="preserve">User-selected TRV-based
HQ </t>
    </r>
    <r>
      <rPr>
        <b/>
        <vertAlign val="superscript"/>
        <sz val="10"/>
        <rFont val="Arial"/>
        <family val="2"/>
      </rPr>
      <t>[3]</t>
    </r>
  </si>
  <si>
    <r>
      <t>TDI</t>
    </r>
    <r>
      <rPr>
        <vertAlign val="subscript"/>
        <sz val="10"/>
        <rFont val="Arial"/>
        <family val="2"/>
      </rPr>
      <t>s</t>
    </r>
  </si>
  <si>
    <r>
      <t>TDI</t>
    </r>
    <r>
      <rPr>
        <vertAlign val="subscript"/>
        <sz val="10"/>
        <rFont val="Arial"/>
        <family val="2"/>
      </rPr>
      <t>veg</t>
    </r>
  </si>
  <si>
    <r>
      <t>TDI</t>
    </r>
    <r>
      <rPr>
        <i/>
        <vertAlign val="subscript"/>
        <sz val="10"/>
        <rFont val="Arial"/>
        <family val="2"/>
      </rPr>
      <t>i,copc</t>
    </r>
    <r>
      <rPr>
        <sz val="10"/>
        <rFont val="Arial"/>
        <family val="2"/>
      </rPr>
      <t xml:space="preserve"> = (EPC</t>
    </r>
    <r>
      <rPr>
        <vertAlign val="subscript"/>
        <sz val="10"/>
        <rFont val="Arial"/>
        <family val="2"/>
      </rPr>
      <t>copc</t>
    </r>
    <r>
      <rPr>
        <sz val="10"/>
        <rFont val="Arial"/>
        <family val="2"/>
      </rPr>
      <t xml:space="preserve"> x RB x FIR x P</t>
    </r>
    <r>
      <rPr>
        <i/>
        <vertAlign val="subscript"/>
        <sz val="10"/>
        <rFont val="Arial"/>
        <family val="2"/>
      </rPr>
      <t>i</t>
    </r>
    <r>
      <rPr>
        <sz val="10"/>
        <rFont val="Arial"/>
        <family val="2"/>
      </rPr>
      <t xml:space="preserve">) + (DWI x EPC) x AUF x (1/BW), </t>
    </r>
    <r>
      <rPr>
        <i/>
        <sz val="10"/>
        <rFont val="Arial"/>
        <family val="2"/>
      </rPr>
      <t>where:</t>
    </r>
  </si>
  <si>
    <r>
      <t>TDI</t>
    </r>
    <r>
      <rPr>
        <i/>
        <vertAlign val="subscript"/>
        <sz val="10"/>
        <rFont val="Arial"/>
        <family val="2"/>
      </rPr>
      <t>i</t>
    </r>
  </si>
  <si>
    <r>
      <t>Total Daily Intake for Dietary Item "</t>
    </r>
    <r>
      <rPr>
        <i/>
        <sz val="10"/>
        <rFont val="Arial"/>
        <family val="2"/>
      </rPr>
      <t>i"</t>
    </r>
    <r>
      <rPr>
        <sz val="10"/>
        <rFont val="Arial"/>
        <family val="2"/>
      </rPr>
      <t xml:space="preserve"> for COPC</t>
    </r>
  </si>
  <si>
    <r>
      <t>EPC</t>
    </r>
    <r>
      <rPr>
        <i/>
        <vertAlign val="subscript"/>
        <sz val="10"/>
        <rFont val="Arial"/>
        <family val="2"/>
      </rPr>
      <t>copc</t>
    </r>
  </si>
  <si>
    <t>No High-TRV available</t>
  </si>
  <si>
    <t>HQ - Hazard Quotient</t>
  </si>
  <si>
    <t>Notes</t>
  </si>
  <si>
    <t>No effect on growth (body weight) of 1-day old chickens; exposed to PFOA/PFDA/PFOS mixture</t>
  </si>
  <si>
    <t>Select for the use of QSAR-based values</t>
  </si>
  <si>
    <t>User Actions (see green cells in tabs for user actions)</t>
  </si>
  <si>
    <t>EF Lookup</t>
  </si>
  <si>
    <t xml:space="preserve">Includes all exposure parameters for wildlife and sets out the foodweb structure/proportions of diet for each receptor. </t>
  </si>
  <si>
    <t xml:space="preserve">Provides a summary of all Exposure Point Concentrations, selecting empirical data provided in Table 3 over modeled data where available. </t>
  </si>
  <si>
    <t>Table of Contents</t>
  </si>
  <si>
    <t>Table 8: Exposure Assessment and Hazard Characterization</t>
  </si>
  <si>
    <t xml:space="preserve">Table 9: Exposure Assessment and Hazard Characterization </t>
  </si>
  <si>
    <t xml:space="preserve">Table 10: Exposure Assessment and Hazard Characterization </t>
  </si>
  <si>
    <t>Table 11: Exposure Assessment and Hazard Characterization</t>
  </si>
  <si>
    <t>Table 12: Exposure Assessment and Hazard Characterization</t>
  </si>
  <si>
    <t>Table 13: Exposure Assessment and Hazard Characterization</t>
  </si>
  <si>
    <t>HQSum</t>
  </si>
  <si>
    <t>Figure 1: Total Daily Intake by PFAS</t>
  </si>
  <si>
    <t>TDI Figure</t>
  </si>
  <si>
    <t>Visual representation of TDI for each PFAS for each receptor</t>
  </si>
  <si>
    <t>TDI Figure Data</t>
  </si>
  <si>
    <t>Internal tab providing support for Figure 1.</t>
  </si>
  <si>
    <t xml:space="preserve">Internal tab providing flat file of all Exposure Factors; data are pulled into Table 1 from this tab. </t>
  </si>
  <si>
    <t>Klaunig et al. (2015)</t>
  </si>
  <si>
    <t>Wolf et al. (2010)</t>
  </si>
  <si>
    <t>Luebker et al. (2005)</t>
  </si>
  <si>
    <t>OPTIONAL:  To apply Surrogate TRVs to precursors only (FASAs and FASAAs) type "Yes" in green cell:</t>
  </si>
  <si>
    <t>No TRV</t>
  </si>
  <si>
    <t>EPC</t>
  </si>
  <si>
    <t xml:space="preserve">Variable </t>
  </si>
  <si>
    <t>ng/kg, ng/L</t>
  </si>
  <si>
    <t>Test Site #1</t>
  </si>
  <si>
    <t>MAMMALIAN RECEPTORS</t>
  </si>
  <si>
    <t>DW</t>
  </si>
  <si>
    <t>guild</t>
  </si>
  <si>
    <t>units</t>
  </si>
  <si>
    <t>equation</t>
  </si>
  <si>
    <t>a</t>
  </si>
  <si>
    <t>b</t>
  </si>
  <si>
    <t>CF kg &lt;--&gt; g</t>
  </si>
  <si>
    <t>g FIR dw</t>
  </si>
  <si>
    <t>y= a(BW ^ b)</t>
  </si>
  <si>
    <t>omnivore</t>
  </si>
  <si>
    <t>herbivore</t>
  </si>
  <si>
    <t>WW</t>
  </si>
  <si>
    <t>g FIR ww</t>
  </si>
  <si>
    <t>AVIAN RECEPTORS</t>
  </si>
  <si>
    <t>RECEPTOR TYPE</t>
  </si>
  <si>
    <t>GUILD</t>
  </si>
  <si>
    <t>Species</t>
  </si>
  <si>
    <t>Definition</t>
  </si>
  <si>
    <t>Lookup Code</t>
  </si>
  <si>
    <t>AVIAN</t>
  </si>
  <si>
    <t>HERBIVORE</t>
  </si>
  <si>
    <r>
      <t>FIR</t>
    </r>
    <r>
      <rPr>
        <vertAlign val="subscript"/>
        <sz val="11"/>
        <rFont val="Calibri"/>
        <family val="2"/>
        <scheme val="minor"/>
      </rPr>
      <t>dw</t>
    </r>
  </si>
  <si>
    <r>
      <t>FIR</t>
    </r>
    <r>
      <rPr>
        <vertAlign val="subscript"/>
        <sz val="11"/>
        <rFont val="Calibri"/>
        <family val="2"/>
        <scheme val="minor"/>
      </rPr>
      <t>ww</t>
    </r>
  </si>
  <si>
    <t>Acres</t>
  </si>
  <si>
    <t>OMNIVORE</t>
  </si>
  <si>
    <t>RECEPTOR LIST FOR DROP DOWN TABLES</t>
  </si>
  <si>
    <t xml:space="preserve">Provides values and basis for all bird TRVs. Users have option to apply Surrogate TRVs where data gaps exist. Users can enter preferred TRVs for use as well. </t>
  </si>
  <si>
    <t xml:space="preserve">Provides values and basis for all mammal TRVs. Users have option to apply Surrogate TRVs where data gaps exist. Users can enter preferred TRVs for use as well. </t>
  </si>
  <si>
    <t>L - liters</t>
  </si>
  <si>
    <t>PFAA</t>
  </si>
  <si>
    <t>PFCA</t>
  </si>
  <si>
    <t>PFBS</t>
  </si>
  <si>
    <t>PFDoDA</t>
  </si>
  <si>
    <t>PFHxS</t>
  </si>
  <si>
    <t>PFTeDA</t>
  </si>
  <si>
    <t>PFTrDA</t>
  </si>
  <si>
    <t>PFUnDA</t>
  </si>
  <si>
    <t>Perfluoroalkyl acids</t>
  </si>
  <si>
    <t>Perfluoroalkyl and polyfluoroalkyl substances</t>
  </si>
  <si>
    <t>Perfluoroalkyl carboxylic acids</t>
  </si>
  <si>
    <t>Perfluorobutanoic acid</t>
  </si>
  <si>
    <t>Perfluorobutanesulfonic acid</t>
  </si>
  <si>
    <t>Perfluorodecanoic acid</t>
  </si>
  <si>
    <t>Perfluorododecanoic acid</t>
  </si>
  <si>
    <t>Perfluorodecane sulfonic acid</t>
  </si>
  <si>
    <t>Perfluoroheptanoic acid</t>
  </si>
  <si>
    <t>Perfluorohexanoic acid</t>
  </si>
  <si>
    <t>Perfluorohexanesulfonic acid</t>
  </si>
  <si>
    <t>Perfluorononanoic acid</t>
  </si>
  <si>
    <t>Perfluorooctanoic acid</t>
  </si>
  <si>
    <t>Perfluorooctanesulfonic acid</t>
  </si>
  <si>
    <t>Perfluorooctane sulfonamide</t>
  </si>
  <si>
    <t>Perfluoropentanoic acid</t>
  </si>
  <si>
    <t>Perfluorotetradecanoic acid</t>
  </si>
  <si>
    <t>Perfluorotridecanoic acid</t>
  </si>
  <si>
    <t>Perfluoroundecanoic acid</t>
  </si>
  <si>
    <t>2-(N-Ethyl perfluorooctane sulfonamido) acetic acid</t>
  </si>
  <si>
    <t>2-(N-Methyl perfluorooctane sulfonamido) acetic acid</t>
  </si>
  <si>
    <t>PFAS Abbreviations:</t>
  </si>
  <si>
    <t xml:space="preserve">PFAS </t>
  </si>
  <si>
    <t>References for all species-specific exposure factors are provided in the Exposure Factors Lookup Table</t>
  </si>
  <si>
    <t>See Acronyms &amp; Abbreviations table for PFAS names.</t>
  </si>
  <si>
    <t>Diet to Tissue Biomagnification Factor</t>
  </si>
  <si>
    <t>Variable</t>
  </si>
  <si>
    <t>ng - nanograms</t>
  </si>
  <si>
    <t>OC - Organic carbon</t>
  </si>
  <si>
    <t>mg - milligram</t>
  </si>
  <si>
    <t>mg/kg-day - milligrams per kilogram body weight per day</t>
  </si>
  <si>
    <t>Tab Title/Color</t>
  </si>
  <si>
    <t>Table 5: Toxicity Reference Values- Birds</t>
  </si>
  <si>
    <t>Table 6: Toxicity Reference Values- Mammals</t>
  </si>
  <si>
    <t>Table 7: Direct Contact Exposures Assessment and Hazard Characterization</t>
  </si>
  <si>
    <t>Daily Food Ingestion (wet weight, used for tissue)</t>
  </si>
  <si>
    <t>Nagy FIR variables</t>
  </si>
  <si>
    <t xml:space="preserve">Internal tab supporting FIR calculations from Nagy 2001. </t>
  </si>
  <si>
    <t>Hazard Quotients (HQ) - Recommended TRVs</t>
  </si>
  <si>
    <t>Hazard Quotients (HQ) - User Selected TRVs (if applicable)</t>
  </si>
  <si>
    <t>Model version:</t>
  </si>
  <si>
    <t>Model date:</t>
  </si>
  <si>
    <t>Disclaimer</t>
  </si>
  <si>
    <t>https://www.serdp-estcp.org/Program-Areas/Environmental-Restoration/ER18-1614</t>
  </si>
  <si>
    <t>For more information, visit our SERDP project webpage:</t>
  </si>
  <si>
    <t>Cite as:</t>
  </si>
  <si>
    <t>Acknowledgements</t>
  </si>
  <si>
    <t xml:space="preserve">This model file was developed by Geosyntec Consultants with funding from the Strategic Environmental Research and Development Program (SERDP).   </t>
  </si>
  <si>
    <t>Bug reports/questions:</t>
  </si>
  <si>
    <t xml:space="preserve">Jason Conder, Geosyntec Consultants
</t>
  </si>
  <si>
    <t>jconder@geosyntec.com</t>
  </si>
  <si>
    <t xml:space="preserve">This model file is based on a current state-of-the-practice overview of available methods, best practices, and key data gaps in assessing the potential for risks from exposure to perfluoroalkyl and polyfluoroalkyl substances (PFAS) for threatened and endangered (T&amp;E) species at aqueous film forming foam (AFFF) impacted sites. It is intended to aid in quantitatively evaluating ecological risks to PFAS, and to enable site managers to make defensible, risk-based management decisions using the best available information and approaches. This file is based on recommendations and suggestions for best practices based on the current state-of-the-science; is not intended as regulation or a binding set of procedures. The user of this model takes full responsibility for the use and application of this model, including the input values, equations, assumptions, and output, and it is recommended that all aspects of the model be evaluated carefully for each site and/or use by an experienced ecological risk assessor prior to site-specific or regulatory decision-making. </t>
  </si>
  <si>
    <t>Average</t>
  </si>
  <si>
    <t>Direct Contact</t>
  </si>
  <si>
    <t>Note: The values in this table are initial suggestions only.  Additional efforts should be considered to verify the use of these values with particular site-specific risk assessments, such as consultation of the literature and information cited herein, consideration of site conditions, and consultation with a biologist. Full citations are provided in the User Guidance</t>
  </si>
  <si>
    <t>Nagy (2001)</t>
  </si>
  <si>
    <t>USEPA (1993)</t>
  </si>
  <si>
    <r>
      <t xml:space="preserve">HQ greater than 1 are shown in </t>
    </r>
    <r>
      <rPr>
        <b/>
        <sz val="10"/>
        <color theme="1"/>
        <rFont val="Arial"/>
        <family val="2"/>
      </rPr>
      <t>Bold</t>
    </r>
  </si>
  <si>
    <r>
      <t xml:space="preserve">High-TRV HQ </t>
    </r>
    <r>
      <rPr>
        <b/>
        <vertAlign val="superscript"/>
        <sz val="10"/>
        <rFont val="Arial"/>
        <family val="2"/>
      </rPr>
      <t>[3]</t>
    </r>
  </si>
  <si>
    <t xml:space="preserve">Low-TRV HQ </t>
  </si>
  <si>
    <t xml:space="preserve">High-TRV HQ </t>
  </si>
  <si>
    <t>Before working with this file, please consult the user's manual and “Guidance for Assessing the Ecological Risks of PFAS to Threatened and Endangered Species at Aqueous Film Forming Foam Impacted Sites" document, available via the URL noted below ("For more information...").  The user's manual also contains the full references cited in the tables within this file.  It is also recommended to verify if a subsequent (improved) version of the model is available via the URL below.</t>
  </si>
  <si>
    <t>HQ - Hazard Quotient (unitless)</t>
  </si>
  <si>
    <t>TDI - Total Daily Intake (mg/kg-day)</t>
  </si>
  <si>
    <t>TRV - Toxicity reference value</t>
  </si>
  <si>
    <t>Table 3: Site-specific Data Entry and Food Web Model</t>
  </si>
  <si>
    <t>PU - Potentially Underestimated</t>
  </si>
  <si>
    <t>Welcome to the AFFF PFAS Terrestrial Ecological Risk Model Tool</t>
  </si>
  <si>
    <t>Select desired receptors from drop down menus; input Site size (terrestrial Site area impacted by PFAS)</t>
  </si>
  <si>
    <t>Users input available Site-specific data for soil and % organic carbon. Optional entry for dietary items (plants, invertebrates).</t>
  </si>
  <si>
    <t>Calculated Total Daily Intake from soil and all diet items for Avian Herbivore (Bird 1)</t>
  </si>
  <si>
    <t>Calculated Total Daily Intake from soil and all diet items for Avian Invertivore (Bird 2)</t>
  </si>
  <si>
    <t>Calculated Total Daily Intake from soil and all diet items for Avian Omnivore (Bird 3)</t>
  </si>
  <si>
    <t>Calculated Total Daily Intake from soil and all diet items for Mammalian Herbivore (Mammal 1)</t>
  </si>
  <si>
    <t>Calculated Total Daily Intake from soil and all diet items for Mammalian Invertivore (Mammal 2)</t>
  </si>
  <si>
    <t>Calculated Total Daily Intake from soil and all diet items for Mammalian Omnivore (Mammal 3)</t>
  </si>
  <si>
    <r>
      <t>P</t>
    </r>
    <r>
      <rPr>
        <vertAlign val="subscript"/>
        <sz val="10"/>
        <rFont val="Arial"/>
        <family val="2"/>
      </rPr>
      <t>inv</t>
    </r>
  </si>
  <si>
    <r>
      <t>P</t>
    </r>
    <r>
      <rPr>
        <vertAlign val="subscript"/>
        <sz val="10"/>
        <rFont val="Arial"/>
        <family val="2"/>
      </rPr>
      <t>mam</t>
    </r>
  </si>
  <si>
    <t>Proportion of Diet - Invertebrates</t>
  </si>
  <si>
    <t>Proportion of Diet - Small Mammals</t>
  </si>
  <si>
    <t>ng/g</t>
  </si>
  <si>
    <t>Nanogram per gram</t>
  </si>
  <si>
    <t xml:space="preserve">BMF-Tissue </t>
  </si>
  <si>
    <t>Willow Ptarmigan</t>
  </si>
  <si>
    <r>
      <t>P</t>
    </r>
    <r>
      <rPr>
        <vertAlign val="subscript"/>
        <sz val="11"/>
        <color theme="1"/>
        <rFont val="Calibri (Body)"/>
      </rPr>
      <t>veg</t>
    </r>
  </si>
  <si>
    <r>
      <t>P</t>
    </r>
    <r>
      <rPr>
        <vertAlign val="subscript"/>
        <sz val="11"/>
        <color theme="1"/>
        <rFont val="Calibri (Body)"/>
      </rPr>
      <t>inv</t>
    </r>
  </si>
  <si>
    <t>Proportion of Diet - Soil</t>
  </si>
  <si>
    <r>
      <t>P</t>
    </r>
    <r>
      <rPr>
        <vertAlign val="subscript"/>
        <sz val="11"/>
        <color theme="1"/>
        <rFont val="Calibri (Body)"/>
      </rPr>
      <t>so</t>
    </r>
  </si>
  <si>
    <t>kg soil, dw/kg diet, dw</t>
  </si>
  <si>
    <t>Assumed based on feeding guild and dietary information in NatureServe Explorer; consult additional literature for more information</t>
  </si>
  <si>
    <t>Assumed; NatureServe Explorer, 2020</t>
  </si>
  <si>
    <t>NatureServe Explorer, 2020</t>
  </si>
  <si>
    <t>Assumed; USEPA (1993)</t>
  </si>
  <si>
    <t>Northern Bobwhite Quail</t>
  </si>
  <si>
    <t>Based on smallest mean HR reported for Northern Bobwhite quail (Family Phasiadinae)</t>
  </si>
  <si>
    <t>INSECTIVORE</t>
  </si>
  <si>
    <t>Lapland Longspur</t>
  </si>
  <si>
    <t>https://explorer.natureserve.org</t>
  </si>
  <si>
    <t>Assumed; NatureServe Explorer, 2021</t>
  </si>
  <si>
    <t>Assumed; NatureServe Explorer, 2023</t>
  </si>
  <si>
    <t>MAMMALIAN</t>
  </si>
  <si>
    <t>Diet consists of roots tubers, bulbs and some surface vegetation according to species profile at https://explorer.natureserve.org</t>
  </si>
  <si>
    <t>Assumed based on similarities with meadow vole feeding strategies</t>
  </si>
  <si>
    <t>American Robin</t>
  </si>
  <si>
    <t>Assumed based on soil consumption rates of American Woodcock</t>
  </si>
  <si>
    <t>Meadow Vole</t>
  </si>
  <si>
    <t>Short-Tailed Shrew</t>
  </si>
  <si>
    <t>Based on reported values for Meadow Vole</t>
  </si>
  <si>
    <t>Deer Mouse</t>
  </si>
  <si>
    <t>Based on reported values for White-Footed Mice</t>
  </si>
  <si>
    <t>Buena Vista Lake Shrew (T&amp;E)</t>
  </si>
  <si>
    <t>Masked Bobwhite Quail (T&amp;E)</t>
  </si>
  <si>
    <t>Florida Scrub-Jay (T&amp;E)</t>
  </si>
  <si>
    <t>Coastal California Gnatcatcher (T&amp;E)</t>
  </si>
  <si>
    <t>Primarily eats seeds, may eat up to 20% insects during breeding season</t>
  </si>
  <si>
    <t>The Cornell Lab of Ornithology, 2020</t>
  </si>
  <si>
    <t>Western Pocket Gopher (T&amp;E)</t>
  </si>
  <si>
    <t>Virginia DGIF (2020)</t>
  </si>
  <si>
    <t>Lower end of average body weight range retrieved from https://www.dgif.virginia.gov/wildlife/information/pungo-white-footed-mouse/</t>
  </si>
  <si>
    <t>Assumed; NatureServe Explorer (2020); Virginia DGIF (2020)</t>
  </si>
  <si>
    <t> Assumed based on guild and information in species profiles (NatureServe and Virginia DGIF). Eats seeds, nuts and insects.</t>
  </si>
  <si>
    <t>Lagopus lagopus</t>
  </si>
  <si>
    <t>Colinus virginianus ridgwayi</t>
  </si>
  <si>
    <t>Thomomys mazama</t>
  </si>
  <si>
    <t>Microtus pennsylvanicus</t>
  </si>
  <si>
    <t>Sorex ornatus relictus</t>
  </si>
  <si>
    <t xml:space="preserve">Peromyscus maniculatus </t>
  </si>
  <si>
    <t>Polioptila californica californicac</t>
  </si>
  <si>
    <t>Calcarius lapponicus</t>
  </si>
  <si>
    <t>Turdus migratorius</t>
  </si>
  <si>
    <t xml:space="preserve">Blarina brevicauda </t>
  </si>
  <si>
    <t xml:space="preserve">Colinus virginianus </t>
  </si>
  <si>
    <t>Aphelocoma coerulescens</t>
  </si>
  <si>
    <t>Peromyscus leucopus easti</t>
  </si>
  <si>
    <t>rodentia</t>
  </si>
  <si>
    <t>galliformes</t>
  </si>
  <si>
    <t>passerines</t>
  </si>
  <si>
    <t>Soil</t>
  </si>
  <si>
    <t>Terrestrial Vegetation</t>
  </si>
  <si>
    <t>Soil Invertebrate</t>
  </si>
  <si>
    <t>Soil Invertebrates</t>
  </si>
  <si>
    <t>[1] Media-specific Total Daily Dose (TDI) is calculated using the following general equation and receptor specific parameters:</t>
  </si>
  <si>
    <r>
      <t>TDI</t>
    </r>
    <r>
      <rPr>
        <b/>
        <vertAlign val="subscript"/>
        <sz val="10"/>
        <rFont val="Arial"/>
        <family val="2"/>
      </rPr>
      <t>total</t>
    </r>
    <r>
      <rPr>
        <b/>
        <sz val="10"/>
        <rFont val="Arial"/>
        <family val="2"/>
      </rPr>
      <t xml:space="preserve"> </t>
    </r>
    <r>
      <rPr>
        <b/>
        <vertAlign val="superscript"/>
        <sz val="10"/>
        <rFont val="Arial"/>
        <family val="2"/>
      </rPr>
      <t>[1]</t>
    </r>
  </si>
  <si>
    <t>Relative Bioavailability (only for soil portion of diet; assumed to be 1 for all chemicals)</t>
  </si>
  <si>
    <r>
      <t>TDI</t>
    </r>
    <r>
      <rPr>
        <i/>
        <vertAlign val="subscript"/>
        <sz val="10"/>
        <rFont val="Arial"/>
        <family val="2"/>
      </rPr>
      <t>i,copc</t>
    </r>
    <r>
      <rPr>
        <sz val="10"/>
        <rFont val="Arial"/>
        <family val="2"/>
      </rPr>
      <t xml:space="preserve"> = (EPC</t>
    </r>
    <r>
      <rPr>
        <vertAlign val="subscript"/>
        <sz val="10"/>
        <rFont val="Arial"/>
        <family val="2"/>
      </rPr>
      <t>copc</t>
    </r>
    <r>
      <rPr>
        <sz val="10"/>
        <rFont val="Arial"/>
        <family val="2"/>
      </rPr>
      <t xml:space="preserve"> x RB x FIR x P</t>
    </r>
    <r>
      <rPr>
        <i/>
        <vertAlign val="subscript"/>
        <sz val="10"/>
        <rFont val="Arial"/>
        <family val="2"/>
      </rPr>
      <t>i</t>
    </r>
    <r>
      <rPr>
        <sz val="10"/>
        <rFont val="Arial"/>
        <family val="2"/>
      </rPr>
      <t xml:space="preserve">) x AUF x (1/BW), </t>
    </r>
    <r>
      <rPr>
        <i/>
        <sz val="10"/>
        <rFont val="Arial"/>
        <family val="2"/>
      </rPr>
      <t>where:</t>
    </r>
  </si>
  <si>
    <t>Proportion of Diet - Soil Invertebrates</t>
  </si>
  <si>
    <t>[3]</t>
  </si>
  <si>
    <r>
      <t>This file is a customizable Microsoft Excel</t>
    </r>
    <r>
      <rPr>
        <vertAlign val="superscript"/>
        <sz val="10"/>
        <color theme="1"/>
        <rFont val="Arial"/>
        <family val="2"/>
      </rPr>
      <t>TM</t>
    </r>
    <r>
      <rPr>
        <sz val="10"/>
        <color theme="1"/>
        <rFont val="Arial"/>
        <family val="2"/>
      </rPr>
      <t xml:space="preserve"> food web and wildlife exposure modeling tool to enable ecological risk assessors to apply the guidance and recommended exposure and effects models to site-specific ecological risk assessments (ERAs).  The ERA Model Tool (a multi-worksheet Excel</t>
    </r>
    <r>
      <rPr>
        <vertAlign val="superscript"/>
        <sz val="10"/>
        <color theme="1"/>
        <rFont val="Arial"/>
        <family val="2"/>
      </rPr>
      <t xml:space="preserve">TM </t>
    </r>
    <r>
      <rPr>
        <sz val="10"/>
        <color theme="1"/>
        <rFont val="Arial"/>
        <family val="2"/>
      </rPr>
      <t xml:space="preserve">file) will enable ecological risk assessors to enter site-specific data, such as concentrations of PFAS in soil and/or biota, along with typical exposure factors for site-relevant wildlife species of interest and available toxicological information for common PFAS.  Model outputs consist of an evaluation of the potential for direct effects to terrestrial communities and model-predicted concentrations in food webs and wildlife diet items, featuring tables that provide ERA effects characterization (i.e., hazard quotients) and other useful information to facilitate ERA-based decision making.  </t>
    </r>
  </si>
  <si>
    <r>
      <t xml:space="preserve">Low-TRV HQ </t>
    </r>
    <r>
      <rPr>
        <b/>
        <vertAlign val="superscript"/>
        <sz val="10"/>
        <rFont val="Arial"/>
        <family val="2"/>
      </rPr>
      <t>[2]</t>
    </r>
  </si>
  <si>
    <r>
      <t xml:space="preserve">High-TRV HQ </t>
    </r>
    <r>
      <rPr>
        <b/>
        <vertAlign val="superscript"/>
        <sz val="10"/>
        <rFont val="Arial"/>
        <family val="2"/>
      </rPr>
      <t>[2]</t>
    </r>
  </si>
  <si>
    <r>
      <t>TDI and HQ Note</t>
    </r>
    <r>
      <rPr>
        <b/>
        <vertAlign val="superscript"/>
        <sz val="10"/>
        <rFont val="Arial"/>
        <family val="2"/>
      </rPr>
      <t xml:space="preserve"> [3]</t>
    </r>
  </si>
  <si>
    <r>
      <t xml:space="preserve">[2] HQ = TDI/TRV; HQ greater than 1 are shown in </t>
    </r>
    <r>
      <rPr>
        <b/>
        <sz val="10"/>
        <rFont val="Arial"/>
        <family val="2"/>
      </rPr>
      <t>Bold</t>
    </r>
  </si>
  <si>
    <t>Proportion of Diet -- Soil</t>
  </si>
  <si>
    <t>Mammalian Consumer
(Omnivore)</t>
  </si>
  <si>
    <t>Avian Consumer
(Insectivore)</t>
  </si>
  <si>
    <t>Mammalian Consumer
(Insectivore)</t>
  </si>
  <si>
    <t>DWI</t>
  </si>
  <si>
    <t>Daily Drinking Water Ingestion Rate</t>
  </si>
  <si>
    <t>L/day</t>
  </si>
  <si>
    <t>Based on the maximum reported water ingestion rate of the Northern Bobwhite Quail</t>
  </si>
  <si>
    <t>Based on the water ingestion rate of the American Woodcock</t>
  </si>
  <si>
    <t>Based on the water ingestion rate of the American Robin</t>
  </si>
  <si>
    <t>Based on the water ingestion rate of the Short-Tailed Shrew</t>
  </si>
  <si>
    <t>Based on adult water ingestion rate for a Deer Mouse</t>
  </si>
  <si>
    <t xml:space="preserve">Based on maximum reported water ingestion rate </t>
  </si>
  <si>
    <t>Based on the maximum reported water ingestion rate of the Meadow Vole</t>
  </si>
  <si>
    <r>
      <t>FIR</t>
    </r>
    <r>
      <rPr>
        <vertAlign val="subscript"/>
        <sz val="11"/>
        <color theme="1"/>
        <rFont val="Calibri"/>
        <family val="2"/>
        <scheme val="minor"/>
      </rPr>
      <t>dw</t>
    </r>
  </si>
  <si>
    <r>
      <t>FIR</t>
    </r>
    <r>
      <rPr>
        <vertAlign val="subscript"/>
        <sz val="11"/>
        <color theme="1"/>
        <rFont val="Calibri"/>
        <family val="2"/>
        <scheme val="minor"/>
      </rPr>
      <t>ww</t>
    </r>
  </si>
  <si>
    <t>Eastern Cottontail</t>
  </si>
  <si>
    <t>insectivore</t>
  </si>
  <si>
    <t>Sylvilagus floridanus</t>
  </si>
  <si>
    <t>Zhao et al., 2014</t>
  </si>
  <si>
    <t>Rich et al., 2015</t>
  </si>
  <si>
    <t>Zhou et al., 2016</t>
  </si>
  <si>
    <t>Blaine et al., 2013</t>
  </si>
  <si>
    <t>Bizkarguenaga et al., 2016</t>
  </si>
  <si>
    <t>Soil to Terrestrial Plant 
BAF-TP 
(g,OC/g, ww)</t>
  </si>
  <si>
    <t>BAF-TP</t>
  </si>
  <si>
    <t>Soil to Terrestrial Plant</t>
  </si>
  <si>
    <t>Soil to Terrestrial Invertebrate 
BSAF-TI
(g, OC/g, ww)</t>
  </si>
  <si>
    <t>BSAF-TI</t>
  </si>
  <si>
    <t>Soil to Terrestrial Invertebrate Biota-Soil Accumulation Factor</t>
  </si>
  <si>
    <t>BAF - Bioaccumulation Factor</t>
  </si>
  <si>
    <t>BSAF - Biota Soil Accumulation Factor</t>
  </si>
  <si>
    <t>g - gram</t>
  </si>
  <si>
    <t>Fraction Organic Carbon (kg OC/kg soil dw)</t>
  </si>
  <si>
    <t>Soil EPC
(ng/kg, dw)</t>
  </si>
  <si>
    <t>(ng/kg ww)</t>
  </si>
  <si>
    <t>Terrestrial Plants</t>
  </si>
  <si>
    <t>Terrestrial Invertebrates</t>
  </si>
  <si>
    <r>
      <t>Notes and Abbreviations</t>
    </r>
    <r>
      <rPr>
        <i/>
        <sz val="10"/>
        <color theme="1"/>
        <rFont val="Arial"/>
        <family val="2"/>
      </rPr>
      <t xml:space="preserve"> (see Acronyms &amp; Abbreviations table for PFAS names):</t>
    </r>
  </si>
  <si>
    <r>
      <t>HQ</t>
    </r>
    <r>
      <rPr>
        <vertAlign val="superscript"/>
        <sz val="10"/>
        <rFont val="Arial"/>
        <family val="2"/>
      </rPr>
      <t xml:space="preserve"> [2]</t>
    </r>
  </si>
  <si>
    <t>[2] Hazard Quotients are calculated as EPC/NOEC; HQ greater than 1 are shown in Bold</t>
  </si>
  <si>
    <t>NOEC - No Observable Effect Concentration</t>
  </si>
  <si>
    <r>
      <t xml:space="preserve">Basis </t>
    </r>
    <r>
      <rPr>
        <vertAlign val="superscript"/>
        <sz val="10"/>
        <color theme="1"/>
        <rFont val="Arial"/>
        <family val="2"/>
      </rPr>
      <t>[1]</t>
    </r>
  </si>
  <si>
    <t>(ng/kg, ww)</t>
  </si>
  <si>
    <t xml:space="preserve">Terrestrial Plant EPC </t>
  </si>
  <si>
    <t>(ng/kg, dw)</t>
  </si>
  <si>
    <t>Soil EPC</t>
  </si>
  <si>
    <t>(ng/L)</t>
  </si>
  <si>
    <t>Surface Water</t>
  </si>
  <si>
    <t>[1] Table selects for Site-specific empirical data over modeled values where available.</t>
  </si>
  <si>
    <t>[1] Dry weight FIR is applied to concentrations of PFAS in soil, generally reported on dry weight basis.</t>
  </si>
  <si>
    <t>[2] Wet weight FIR is applied to tissue data, generally reported on fresh or wet weight basis.</t>
  </si>
  <si>
    <t>[3] AUF values for receptors were calculated by dividing home range by site area.  At some sites for some receptors, it may be more accurate to express AUF with additional approaches that consider animal foraging strategies at the site.</t>
  </si>
  <si>
    <r>
      <t>Site-Specific Value</t>
    </r>
    <r>
      <rPr>
        <b/>
        <vertAlign val="superscript"/>
        <sz val="10"/>
        <color theme="1"/>
        <rFont val="Arial"/>
        <family val="2"/>
      </rPr>
      <t xml:space="preserve"> </t>
    </r>
    <r>
      <rPr>
        <vertAlign val="superscript"/>
        <sz val="10"/>
        <color theme="1"/>
        <rFont val="Arial"/>
        <family val="2"/>
      </rPr>
      <t>[1]</t>
    </r>
  </si>
  <si>
    <r>
      <t>Site-Specific Value</t>
    </r>
    <r>
      <rPr>
        <vertAlign val="superscript"/>
        <sz val="10"/>
        <color theme="1"/>
        <rFont val="Arial"/>
        <family val="2"/>
      </rPr>
      <t xml:space="preserve"> [1]</t>
    </r>
  </si>
  <si>
    <r>
      <t xml:space="preserve">Modeled Value </t>
    </r>
    <r>
      <rPr>
        <vertAlign val="superscript"/>
        <sz val="10"/>
        <color theme="1"/>
        <rFont val="Arial"/>
        <family val="2"/>
      </rPr>
      <t xml:space="preserve">[3] </t>
    </r>
    <r>
      <rPr>
        <sz val="10"/>
        <color theme="1"/>
        <rFont val="Arial"/>
        <family val="2"/>
      </rPr>
      <t xml:space="preserve"> </t>
    </r>
  </si>
  <si>
    <r>
      <t>Modeled Value</t>
    </r>
    <r>
      <rPr>
        <sz val="10"/>
        <color theme="1"/>
        <rFont val="Arial"/>
        <family val="2"/>
      </rPr>
      <t xml:space="preserve"> </t>
    </r>
    <r>
      <rPr>
        <vertAlign val="superscript"/>
        <sz val="10"/>
        <color theme="1"/>
        <rFont val="Arial"/>
        <family val="2"/>
      </rPr>
      <t xml:space="preserve">[2] </t>
    </r>
    <r>
      <rPr>
        <sz val="10"/>
        <color theme="1"/>
        <rFont val="Arial"/>
        <family val="2"/>
      </rPr>
      <t xml:space="preserve"> </t>
    </r>
  </si>
  <si>
    <t>(ng/kg dw)</t>
  </si>
  <si>
    <t xml:space="preserve">Soil </t>
  </si>
  <si>
    <t>Terrestrial Plant</t>
  </si>
  <si>
    <t>[1] Data must be added in provided units</t>
  </si>
  <si>
    <t>[2] Modeled value = Soil Concentration (OC normalized) x BAF-TP</t>
  </si>
  <si>
    <t>[3] Modeled value = Soil Concentration (OC normalized) x BSAF-TI</t>
  </si>
  <si>
    <t>kg - kilograms</t>
  </si>
  <si>
    <t>ww- wet weight</t>
  </si>
  <si>
    <r>
      <t>TDI</t>
    </r>
    <r>
      <rPr>
        <vertAlign val="subscript"/>
        <sz val="10"/>
        <rFont val="Arial"/>
        <family val="2"/>
      </rPr>
      <t>so</t>
    </r>
  </si>
  <si>
    <r>
      <t>TDI</t>
    </r>
    <r>
      <rPr>
        <vertAlign val="subscript"/>
        <sz val="10"/>
        <rFont val="Arial"/>
        <family val="2"/>
      </rPr>
      <t>inv</t>
    </r>
  </si>
  <si>
    <t>ng/L</t>
  </si>
  <si>
    <r>
      <t>TDI</t>
    </r>
    <r>
      <rPr>
        <vertAlign val="subscript"/>
        <sz val="10"/>
        <rFont val="Arial"/>
        <family val="2"/>
      </rPr>
      <t>sw</t>
    </r>
  </si>
  <si>
    <t>Surface Water EPC</t>
  </si>
  <si>
    <t>Type an "X" in the green box if surface water is present at your site:</t>
  </si>
  <si>
    <t xml:space="preserve">Surface Water </t>
  </si>
  <si>
    <t>[3] = In a scenarios where HQ values may be potentially underestimated, the "PU" designation will appear in either black or grey text. Black text indicates that the HQ is underestimated due to one or more missing EPCs related to Bird 1's diet items. Grey text indicates that the HQ cannot be calculated due to the lack of an available TRV</t>
  </si>
  <si>
    <t>[3] = In a scenarios where HQ values may be potentially underestimated, the "PU" designation will appear in either black or grey text. Black text indicates that the HQ is underestimated due to one or more missing EPCs related to Bird 2's diet items. Grey text indicates that the HQ cannot be calculated due to the lack of an available TRV</t>
  </si>
  <si>
    <t>[3] = In a scenarios where HQ values may be potentially underestimated, the "PU" designation will appear in either black or grey text. Black text indicates that the HQ is underestimated due to one or more missing EPCs related to Bird 3's diet items. Grey text indicates that the HQ cannot be calculated due to the lack of an available TRV</t>
  </si>
  <si>
    <t>[3] = In a scenarios where HQ values may be potentially underestimated, the "PU" designation will appear in either black or grey text. Black text indicates that the HQ is underestimated due to one or more missing EPCs related to Mammal 1's diet items. Grey text indicates that the HQ cannot be calculated due to the lack of an available TRV</t>
  </si>
  <si>
    <t>[3] = In a scenarios where HQ values may be potentially underestimated, the "PU" designation will appear in either black or grey text. Black text indicates that the HQ is underestimated due to one or more missing EPCs related to Mammal 2's diet items. Grey text indicates that the HQ cannot be calculated due to the lack of an available TRV</t>
  </si>
  <si>
    <t>[3] = In a scenarios where HQ values may be potentially underestimated, the "PU" designation will appear in either black or grey text. Black text indicates that the HQ is underestimated due to one or more missing EPCs related to Mammal 3's diet items. Grey text indicates that the HQ cannot be calculated due to the lack of an available TRV</t>
  </si>
  <si>
    <r>
      <t xml:space="preserve">User-selected 
TRV-based 
HQ </t>
    </r>
    <r>
      <rPr>
        <b/>
        <vertAlign val="superscript"/>
        <sz val="10"/>
        <rFont val="Arial"/>
        <family val="2"/>
      </rPr>
      <t>[3]</t>
    </r>
  </si>
  <si>
    <t>User-selected 
TRV</t>
  </si>
  <si>
    <t>High 
TRV</t>
  </si>
  <si>
    <t>Low 
TRV</t>
  </si>
  <si>
    <r>
      <t>TDI and HQ 
Note</t>
    </r>
    <r>
      <rPr>
        <b/>
        <vertAlign val="superscript"/>
        <sz val="10"/>
        <rFont val="Arial"/>
        <family val="2"/>
      </rPr>
      <t xml:space="preserve"> [3]</t>
    </r>
  </si>
  <si>
    <t>Calculates HQs for Terrestrial Life from concentrations in environmental media (input in Table 3)</t>
  </si>
  <si>
    <t>Terrestrial Invertebrate EPC</t>
  </si>
  <si>
    <t>Proportion of Diet -- Terrestrial Invertebrates</t>
  </si>
  <si>
    <t>Avian Consumer
(Omnivore)</t>
  </si>
  <si>
    <t>Wildlife</t>
  </si>
  <si>
    <t>OPTIONAL - To apply QSAR modelled bioaccumulation parameters to all data gaps type "Yes" in green cell:</t>
  </si>
  <si>
    <t>Study</t>
  </si>
  <si>
    <t>He et al., 2013</t>
  </si>
  <si>
    <t>Brignole et al., 2003</t>
  </si>
  <si>
    <t>Xu et al., 2013</t>
  </si>
  <si>
    <t>Newsted et al., 2005; 2007</t>
  </si>
  <si>
    <t>Newsted et al., 2007; 
Gallagher et al., 2005</t>
  </si>
  <si>
    <t xml:space="preserve">Includes Bioaccumulation Parameters for PFAS (BSAFs) for use in the foodweb model. Users have the option of using only empirical values with data gaps, or applying QSAR or surrogate values to data gaps. </t>
  </si>
  <si>
    <t>Calculated using DW allometric equation for Passerine birds from Nagy et al. 2001; see Nagy FIR variables tab for formulas</t>
  </si>
  <si>
    <t>Calculated using WW allometric equation for Passerine birds from Nagy et al. 2001; see Nagy FIR variables tab for formulas</t>
  </si>
  <si>
    <t>Calculated using WW allometric equation for Passerine birds  from Nagy et al. 2001; see Nagy FIR variables tab for formulas</t>
  </si>
  <si>
    <t>Calculated using DW equation for rodentia  from Nagy et al. 2001; see Nagy FIR variables tab for formulas</t>
  </si>
  <si>
    <t>Calculated using DW equation for rodentia from Nagy et al. 2001; see Nagy FIR variables tab for formulas</t>
  </si>
  <si>
    <t>Calculated using DW equation for Galliform birds from Nagy et al. 2001; see Nagy FIR variables tab for formulas</t>
  </si>
  <si>
    <t>Calculated using WW allometric equation for omnivorous birds from Nagy et al. 2001; see Nagy FIR variables tab for formulas</t>
  </si>
  <si>
    <t>Calculated using WW allometric equation for rodentia from Nagy et al. 2001; see Nagy FIR variables tab for formulas</t>
  </si>
  <si>
    <t>Calculated using WW allometric  equation for rodentia from Nagy et al. 2001; see Nagy FIR variables tab for formulas</t>
  </si>
  <si>
    <t>Forage for invertebrates and fruits in shrubs and low tree branches; proportion assumed based on dietary information provided in USEPA (1993); assumed 10% fruit/plants.</t>
  </si>
  <si>
    <t>Forage for invertebrates and fruits in shrubs and low tree branches; proportion assumed based on dietary information provided in USEPA (1993); assumed 90% invertebrates.</t>
  </si>
  <si>
    <t>Assumed not to consume soil based on feeding strategies described in NatureServe Explorer profile</t>
  </si>
  <si>
    <t>Assumed 100% invertebrate diet based on feeding guild and dietary information in NatureServe Explorer; consult additional literature for more information</t>
  </si>
  <si>
    <t>Minimum mean body weight for adults reported for Deer Mice</t>
  </si>
  <si>
    <t xml:space="preserve">Principally eat seeds, arthropods, some green vegetation, roots, fruits, and fungi as available; opportunistic omnivores with highly variable diets; assumed 65% vegetation. </t>
  </si>
  <si>
    <t xml:space="preserve">Assumed 35% invertebrate diet based on dietary information in USEPA Wildlife EFH; Principally eat seeds, arthropods, some green vegetation, roots, fruits, and fungi as available; opportunistic omnivores with highly variable diets. </t>
  </si>
  <si>
    <t xml:space="preserve">Minimum mean body weight reported. </t>
  </si>
  <si>
    <t xml:space="preserve">Assumed based on feeding guild and dietary information reported in USEPA (1993) - herbaceous plants, woody vines, shrubs, and trees. </t>
  </si>
  <si>
    <t>Opportunistic omnivore; lizards and arthropods dominate diet in spring and summer, acorns in fall and winter ; https://explorer.natureserve.org</t>
  </si>
  <si>
    <t>Based on Body weight for Northern Bobwhite quail</t>
  </si>
  <si>
    <t>Details on Threatened &amp; Endangered receptor selection are provided in Section 3.3 and Appendix A of Conder et al. 2020</t>
  </si>
  <si>
    <t>Supporting information for recommended bioaccumulation values are provided in Table 2c of Conder et al. 2020</t>
  </si>
  <si>
    <t>Uptake models are described in detail in Section 3.3 of Conder et al. 2020</t>
  </si>
  <si>
    <t>Details and full references for all TRVs can be found in Section 3.4 and Appendix C of Conder et al. 2020</t>
  </si>
  <si>
    <t>[1] Additional details on soil NOEC derivation in Section 3.4.5 of Conder et al. 2020.</t>
  </si>
  <si>
    <t xml:space="preserve">Conder, J., Arblaster, J., Larson, E., Brown, J., Higgins, C.  2020.  Guidance for Assessing the Ecological Risks of PFAS to Threatened and Endangered Species at Aqueous Film Forming Foam-Impacted Sites.  SERDP Project ER18-1614.  September.  </t>
  </si>
  <si>
    <t>American Woodcock</t>
  </si>
  <si>
    <t>Scolopax minor</t>
  </si>
  <si>
    <t>Based on lowest median reported values.</t>
  </si>
  <si>
    <t>Assumed to be similar to that of Woodcock based on ground foraging behavior.</t>
  </si>
  <si>
    <t>The assumed diet proportion is 1% based on the minimum grit intake of birds (&lt;2%) and the finding that bobwhite quail "consume little grit" (USEPA, 1993).</t>
  </si>
  <si>
    <t>Based on soil ingestion rate of jackrabbit (Table 4-5).</t>
  </si>
  <si>
    <t>Based on the average reported home ranges for adult</t>
  </si>
  <si>
    <t xml:space="preserve">Mostly seeds and insects. Seeds make up about half of diet of adults in summer, and great majority of diet in winter - assumed 60% vegetation, 40% invertebrates </t>
  </si>
  <si>
    <t>https://www.audubon.org/field-guide/bird/lapland-longspur</t>
  </si>
  <si>
    <t xml:space="preserve">Mostly seeds and insects. Earthworms are major prey, also larvae in soil and other insects - assumed 10% vegetation, 90% invertebrates </t>
  </si>
  <si>
    <t>https://www.audubon.org/field-guide/bird/american-woodcock</t>
  </si>
  <si>
    <t>Beyer et al (1994)</t>
  </si>
  <si>
    <t>Assumed based on feeding guild and dietary information in USEPA (1993)</t>
  </si>
  <si>
    <t xml:space="preserve">Average body weight for male meadow vole over the full year. </t>
  </si>
  <si>
    <t>Average of male and female summer home ranges</t>
  </si>
  <si>
    <t>Ornate Shrew (similar size) used as a surrogate; average home range in California (https://explorer.natureserve.org)</t>
  </si>
  <si>
    <t>Mean home range for male Botta's Pocket Gopher in species profile at https://explorer.natureserve.org</t>
  </si>
  <si>
    <t>Approximate average based on Figure 3.</t>
  </si>
  <si>
    <t>Tyron and MacLean (1980)</t>
  </si>
  <si>
    <t>Daily Food Ingestion (dry weight, used for soil)</t>
  </si>
  <si>
    <t>X</t>
  </si>
  <si>
    <t>Average of values reported for Deer Mice (male and female)</t>
  </si>
  <si>
    <t>Anastasia Beach Deermouse (T&amp;E)</t>
  </si>
  <si>
    <t>Major changes since last version:</t>
  </si>
  <si>
    <r>
      <t xml:space="preserve">Enter data for soil, surface water and % organic carbon of soil. </t>
    </r>
    <r>
      <rPr>
        <b/>
        <sz val="10"/>
        <color rgb="FFFF0000"/>
        <rFont val="Arial"/>
        <family val="2"/>
      </rPr>
      <t xml:space="preserve">Data must be in ng/kg dw for soil and ng/kg ww for tissues. </t>
    </r>
  </si>
  <si>
    <t xml:space="preserve">None; if User specific TRVs are used, expand columns R &amp; S to view associated HQs. </t>
  </si>
  <si>
    <t>Yeung et al., 2009</t>
  </si>
  <si>
    <t>Dummy value</t>
  </si>
  <si>
    <r>
      <t>NOEC</t>
    </r>
    <r>
      <rPr>
        <sz val="10"/>
        <rFont val="Arial"/>
        <family val="2"/>
      </rPr>
      <t xml:space="preserve"> </t>
    </r>
    <r>
      <rPr>
        <vertAlign val="superscript"/>
        <sz val="10"/>
        <rFont val="Arial"/>
        <family val="2"/>
      </rPr>
      <t xml:space="preserve">[1]
</t>
    </r>
    <r>
      <rPr>
        <sz val="10"/>
        <rFont val="Arial"/>
        <family val="2"/>
      </rPr>
      <t>(ng/kg, dw)</t>
    </r>
  </si>
  <si>
    <t>Foraging HR for fledglings (0.81 hectares) reported in USEPA (1993)</t>
  </si>
  <si>
    <t>Retrieved from Table 4-4</t>
  </si>
  <si>
    <t>Primarily eats seeds, may eat between 10-25% insects depending on seasonal food availability and life stage (USEPA, 1993)</t>
  </si>
  <si>
    <t>https://explorer.natureserve.org; low end of typical range for California gnatcatcher</t>
  </si>
  <si>
    <t xml:space="preserve">None; protected worksheet. </t>
  </si>
  <si>
    <t>van Otterdiijk (2007)</t>
  </si>
  <si>
    <t>4% control-adjusted decrease in growth (fetal body weight per litter) in pregnant mice</t>
  </si>
  <si>
    <t>23% control-adjusted decrease in growth (Harris and Birnbaum,1989)</t>
  </si>
  <si>
    <t>Growth (body weight) and reproductive (number of pups per litter) in rats (Butenhoff et al., 2009)</t>
  </si>
  <si>
    <t>21% control-adjusted decrease in growth (Luebker et al., 2005)</t>
  </si>
  <si>
    <t>Assumed; Beyer et al. (1994)</t>
  </si>
  <si>
    <t>Version 1.1</t>
  </si>
  <si>
    <t>Formatting changes</t>
  </si>
  <si>
    <t xml:space="preserve">Table 14: Wildlife Hazard Quotient Summary </t>
  </si>
  <si>
    <t>Summary table of all calculated HQs for wildlife.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</si>
</sst>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mmmm\ d\,\ yyyy;@"/>
    <numFmt numFmtId="165" formatCode="0.000"/>
    <numFmt numFmtId="166" formatCode="0.0"/>
    <numFmt numFmtId="167" formatCode="0E+00"/>
    <numFmt numFmtId="168" formatCode="0.0E+00"/>
    <numFmt numFmtId="169" formatCode="0.0000"/>
    <numFmt numFmtId="170" formatCode="0.00000"/>
    <numFmt numFmtId="171" formatCode="_(* #,##0_);_(* \(#,##0\);_(* &quot;-&quot;??_);_(@_)"/>
  </numFmts>
  <fonts count="72">
    <font>
      <sz val="11"/>
      <color theme="1"/>
      <name val="Calibri"/>
      <family val="2"/>
      <scheme val="minor"/>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1"/>
      <color theme="1"/>
      <name val="Times New Roman"/>
      <family val="1"/>
    </font>
    <font>
      <sz val="10"/>
      <color indexed="8"/>
      <name val="Arial"/>
      <family val="2"/>
    </font>
    <font>
      <sz val="11"/>
      <color theme="1"/>
      <name val="Calibri"/>
      <family val="2"/>
      <scheme val="minor"/>
    </font>
    <font>
      <sz val="10"/>
      <color theme="1"/>
      <name val="Arial"/>
      <family val="2"/>
    </font>
    <font>
      <sz val="11"/>
      <color theme="1"/>
      <name val="Arial"/>
      <family val="2"/>
    </font>
    <font>
      <b/>
      <sz val="10"/>
      <name val="Arial"/>
      <family val="2"/>
    </font>
    <font>
      <b/>
      <sz val="10"/>
      <color theme="1"/>
      <name val="Arial"/>
      <family val="2"/>
    </font>
    <font>
      <i/>
      <sz val="10"/>
      <color theme="1"/>
      <name val="Arial"/>
      <family val="2"/>
    </font>
    <font>
      <vertAlign val="superscript"/>
      <sz val="10"/>
      <name val="Arial"/>
      <family val="2"/>
    </font>
    <font>
      <vertAlign val="subscript"/>
      <sz val="10"/>
      <name val="Arial"/>
      <family val="2"/>
    </font>
    <font>
      <sz val="10"/>
      <color rgb="FFFF0000"/>
      <name val="Arial"/>
      <family val="2"/>
    </font>
    <font>
      <b/>
      <i/>
      <sz val="10"/>
      <name val="Arial"/>
      <family val="2"/>
    </font>
    <font>
      <b/>
      <sz val="10"/>
      <color rgb="FFFF0000"/>
      <name val="Arial"/>
      <family val="2"/>
    </font>
    <font>
      <b/>
      <sz val="10"/>
      <color rgb="FF7030A0"/>
      <name val="Arial"/>
      <family val="2"/>
    </font>
    <font>
      <b/>
      <i/>
      <sz val="10"/>
      <color theme="1"/>
      <name val="Arial"/>
      <family val="2"/>
    </font>
    <font>
      <b/>
      <u/>
      <sz val="10"/>
      <color theme="1"/>
      <name val="Arial"/>
      <family val="2"/>
    </font>
    <font>
      <b/>
      <vertAlign val="superscript"/>
      <sz val="10"/>
      <color theme="1"/>
      <name val="Arial"/>
      <family val="2"/>
    </font>
    <font>
      <b/>
      <vertAlign val="superscript"/>
      <sz val="10"/>
      <name val="Arial"/>
      <family val="2"/>
    </font>
    <font>
      <b/>
      <vertAlign val="subscript"/>
      <sz val="10"/>
      <name val="Arial"/>
      <family val="2"/>
    </font>
    <font>
      <i/>
      <vertAlign val="subscript"/>
      <sz val="10"/>
      <name val="Arial"/>
      <family val="2"/>
    </font>
    <font>
      <i/>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name val="Calibri"/>
      <family val="2"/>
      <scheme val="minor"/>
    </font>
    <font>
      <vertAlign val="subscript"/>
      <sz val="11"/>
      <name val="Calibri"/>
      <family val="2"/>
      <scheme val="minor"/>
    </font>
    <font>
      <sz val="11"/>
      <color rgb="FF000000"/>
      <name val="Calibri"/>
      <family val="2"/>
      <scheme val="minor"/>
    </font>
    <font>
      <sz val="10"/>
      <name val="Times New Roman"/>
      <family val="1"/>
    </font>
    <font>
      <u/>
      <sz val="11"/>
      <color theme="10"/>
      <name val="Calibri"/>
      <family val="2"/>
      <scheme val="minor"/>
    </font>
    <font>
      <i/>
      <sz val="10"/>
      <color rgb="FF222222"/>
      <name val="Arial"/>
      <family val="2"/>
    </font>
    <font>
      <i/>
      <sz val="10"/>
      <color rgb="FF000000"/>
      <name val="Arial"/>
      <family val="2"/>
    </font>
    <font>
      <i/>
      <sz val="11"/>
      <color theme="1"/>
      <name val="Calibri"/>
      <family val="2"/>
      <scheme val="minor"/>
    </font>
    <font>
      <vertAlign val="superscript"/>
      <sz val="10"/>
      <color theme="1"/>
      <name val="Arial"/>
      <family val="2"/>
    </font>
    <font>
      <b/>
      <sz val="9"/>
      <color theme="1"/>
      <name val="Arial"/>
      <family val="2"/>
    </font>
    <font>
      <u/>
      <sz val="11"/>
      <color theme="10"/>
      <name val="Arial"/>
      <family val="2"/>
    </font>
    <font>
      <vertAlign val="subscript"/>
      <sz val="11"/>
      <color theme="1"/>
      <name val="Calibri (Body)"/>
    </font>
    <font>
      <sz val="11"/>
      <color rgb="FF2B2B2B"/>
      <name val="Calibri"/>
      <family val="2"/>
      <scheme val="minor"/>
    </font>
    <font>
      <vertAlign val="subscript"/>
      <sz val="11"/>
      <color theme="1"/>
      <name val="Calibri"/>
      <family val="2"/>
      <scheme val="minor"/>
    </font>
    <font>
      <i/>
      <u/>
      <sz val="10"/>
      <name val="Arial"/>
      <family val="2"/>
    </font>
    <font>
      <sz val="10"/>
      <color theme="0"/>
      <name val="Arial"/>
      <family val="2"/>
    </font>
    <font>
      <u/>
      <sz val="8"/>
      <color theme="10"/>
      <name val="Arial"/>
      <family val="2"/>
    </font>
  </fonts>
  <fills count="1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66FF99"/>
        <bgColor indexed="64"/>
      </patternFill>
    </fill>
    <fill>
      <patternFill patternType="solid">
        <fgColor theme="2"/>
        <bgColor indexed="64"/>
      </patternFill>
    </fill>
    <fill>
      <patternFill patternType="solid">
        <fgColor rgb="FFE6E6E6"/>
        <bgColor indexed="64"/>
      </patternFill>
    </fill>
    <fill>
      <patternFill patternType="solid">
        <fgColor rgb="FF99FF9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5"/>
      </patternFill>
    </fill>
    <fill>
      <patternFill patternType="solid">
        <fgColor rgb="FFCCFFFF"/>
        <bgColor indexed="64"/>
      </patternFill>
    </fill>
    <fill>
      <patternFill patternType="solid">
        <fgColor rgb="FF99FFCC"/>
        <bgColor indexed="64"/>
      </patternFill>
    </fill>
    <fill>
      <patternFill patternType="solid">
        <fgColor theme="0" tint="-0.14999847407452621"/>
        <bgColor indexed="64"/>
      </patternFill>
    </fill>
    <fill>
      <patternFill patternType="solid">
        <fgColor theme="0"/>
        <bgColor rgb="FFD9D9D9"/>
      </patternFill>
    </fill>
    <fill>
      <patternFill patternType="solid">
        <fgColor rgb="FFFF4B4B"/>
        <bgColor indexed="64"/>
      </patternFill>
    </fill>
    <fill>
      <patternFill patternType="solid">
        <fgColor theme="5"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0" fontId="29" fillId="0" borderId="0"/>
    <xf numFmtId="164" fontId="32" fillId="0" borderId="0"/>
    <xf numFmtId="164" fontId="32" fillId="0" borderId="0"/>
    <xf numFmtId="164" fontId="31" fillId="0" borderId="0"/>
    <xf numFmtId="164" fontId="32" fillId="0" borderId="0"/>
    <xf numFmtId="164" fontId="29" fillId="0" borderId="0"/>
    <xf numFmtId="164" fontId="32" fillId="0" borderId="0"/>
    <xf numFmtId="0" fontId="33" fillId="0" borderId="0"/>
    <xf numFmtId="0" fontId="32" fillId="0" borderId="0"/>
    <xf numFmtId="0" fontId="31" fillId="0" borderId="0"/>
    <xf numFmtId="9" fontId="32" fillId="0" borderId="0" applyFont="0" applyFill="0" applyBorder="0" applyAlignment="0" applyProtection="0"/>
    <xf numFmtId="0" fontId="51" fillId="0" borderId="14" applyNumberFormat="0" applyFill="0" applyAlignment="0" applyProtection="0"/>
    <xf numFmtId="0" fontId="52" fillId="0" borderId="15" applyNumberFormat="0" applyFill="0" applyAlignment="0" applyProtection="0"/>
    <xf numFmtId="0" fontId="53" fillId="0" borderId="16" applyNumberFormat="0" applyFill="0" applyAlignment="0" applyProtection="0"/>
    <xf numFmtId="0" fontId="32" fillId="10" borderId="0" applyNumberFormat="0" applyBorder="0" applyAlignment="0" applyProtection="0"/>
    <xf numFmtId="0" fontId="59" fillId="0" borderId="0" applyNumberFormat="0" applyFill="0" applyBorder="0" applyAlignment="0" applyProtection="0"/>
    <xf numFmtId="43" fontId="32" fillId="0" borderId="0" applyFont="0" applyFill="0" applyBorder="0" applyAlignment="0" applyProtection="0"/>
  </cellStyleXfs>
  <cellXfs count="503">
    <xf numFmtId="0" fontId="0" fillId="0" borderId="0" xfId="0"/>
    <xf numFmtId="0" fontId="29" fillId="0" borderId="0" xfId="0" applyFont="1"/>
    <xf numFmtId="0" fontId="34" fillId="0" borderId="0" xfId="0" applyFont="1"/>
    <xf numFmtId="0" fontId="30" fillId="0" borderId="0" xfId="0" applyFont="1" applyAlignment="1">
      <alignment horizontal="center"/>
    </xf>
    <xf numFmtId="2" fontId="35" fillId="0" borderId="0" xfId="2" applyNumberFormat="1" applyFont="1" applyBorder="1" applyAlignment="1">
      <alignment horizontal="center" vertical="center" wrapText="1"/>
    </xf>
    <xf numFmtId="0" fontId="30" fillId="0" borderId="1" xfId="0" applyFont="1" applyBorder="1" applyAlignment="1">
      <alignment vertical="center"/>
    </xf>
    <xf numFmtId="0" fontId="30" fillId="0" borderId="1" xfId="0" applyFont="1" applyBorder="1" applyAlignment="1">
      <alignment horizontal="left" vertical="center"/>
    </xf>
    <xf numFmtId="0" fontId="30" fillId="0" borderId="1" xfId="0" applyFont="1" applyBorder="1" applyAlignment="1">
      <alignment horizontal="left"/>
    </xf>
    <xf numFmtId="0" fontId="33" fillId="0" borderId="1" xfId="0" quotePrefix="1" applyFont="1" applyBorder="1" applyAlignment="1">
      <alignment horizontal="center" vertical="center"/>
    </xf>
    <xf numFmtId="2" fontId="29" fillId="0" borderId="0" xfId="2" applyNumberFormat="1" applyFont="1" applyAlignment="1">
      <alignment horizontal="center" vertical="center" wrapText="1"/>
    </xf>
    <xf numFmtId="0" fontId="29" fillId="0" borderId="1" xfId="0" applyFont="1" applyFill="1" applyBorder="1" applyAlignment="1">
      <alignment horizontal="center" vertical="center"/>
    </xf>
    <xf numFmtId="2" fontId="29" fillId="0" borderId="0" xfId="3" applyNumberFormat="1" applyFont="1" applyAlignment="1">
      <alignment horizontal="left" vertical="top" wrapText="1"/>
    </xf>
    <xf numFmtId="2" fontId="29" fillId="0" borderId="0" xfId="3" applyNumberFormat="1" applyFont="1" applyAlignment="1">
      <alignment horizontal="left" vertical="center" wrapText="1"/>
    </xf>
    <xf numFmtId="2" fontId="29" fillId="0" borderId="0" xfId="3" applyNumberFormat="1" applyFont="1" applyAlignment="1">
      <alignment vertical="center"/>
    </xf>
    <xf numFmtId="0" fontId="33" fillId="0" borderId="0" xfId="0" applyFont="1"/>
    <xf numFmtId="0" fontId="36" fillId="0" borderId="0" xfId="0" applyFont="1"/>
    <xf numFmtId="0" fontId="33" fillId="0" borderId="0" xfId="0" applyFont="1" applyAlignment="1">
      <alignment horizontal="left"/>
    </xf>
    <xf numFmtId="0" fontId="33" fillId="0" borderId="0" xfId="0" applyFont="1" applyAlignment="1">
      <alignment wrapText="1"/>
    </xf>
    <xf numFmtId="0" fontId="33" fillId="0" borderId="0" xfId="0" applyFont="1" applyAlignment="1">
      <alignment horizontal="center"/>
    </xf>
    <xf numFmtId="2" fontId="29" fillId="0" borderId="0" xfId="2" applyNumberFormat="1" applyFont="1" applyAlignment="1">
      <alignment horizontal="center" vertical="center"/>
    </xf>
    <xf numFmtId="0" fontId="35" fillId="0" borderId="0" xfId="0" applyFont="1"/>
    <xf numFmtId="2" fontId="35" fillId="0" borderId="0" xfId="2" applyNumberFormat="1" applyFont="1" applyAlignment="1">
      <alignment vertical="center"/>
    </xf>
    <xf numFmtId="2" fontId="29" fillId="0" borderId="0" xfId="3" applyNumberFormat="1" applyFont="1" applyAlignment="1">
      <alignment horizontal="left" vertical="top"/>
    </xf>
    <xf numFmtId="2" fontId="29" fillId="0" borderId="1" xfId="2" applyNumberFormat="1" applyFont="1" applyFill="1" applyBorder="1" applyAlignment="1">
      <alignment horizontal="center" vertical="center"/>
    </xf>
    <xf numFmtId="0" fontId="33" fillId="0" borderId="0" xfId="0" applyFont="1" applyFill="1"/>
    <xf numFmtId="0" fontId="31" fillId="0" borderId="1" xfId="10" applyFont="1" applyFill="1" applyBorder="1" applyAlignment="1">
      <alignment vertical="center"/>
    </xf>
    <xf numFmtId="0" fontId="42" fillId="0" borderId="0" xfId="0" applyFont="1"/>
    <xf numFmtId="0" fontId="33" fillId="0" borderId="1" xfId="0" applyFont="1" applyBorder="1" applyAlignment="1">
      <alignment vertical="center"/>
    </xf>
    <xf numFmtId="0" fontId="43" fillId="0" borderId="0" xfId="0" applyFont="1" applyFill="1"/>
    <xf numFmtId="0" fontId="33" fillId="0" borderId="1" xfId="0" applyFont="1" applyBorder="1" applyAlignment="1">
      <alignment horizontal="left" vertical="center"/>
    </xf>
    <xf numFmtId="0" fontId="44" fillId="0" borderId="0" xfId="0" applyFont="1"/>
    <xf numFmtId="0" fontId="44" fillId="0" borderId="0" xfId="0" applyFont="1" applyAlignment="1">
      <alignment horizontal="left"/>
    </xf>
    <xf numFmtId="0" fontId="33" fillId="0" borderId="1" xfId="0" applyFont="1" applyBorder="1"/>
    <xf numFmtId="0" fontId="33" fillId="0" borderId="1" xfId="0" applyFont="1" applyBorder="1" applyAlignment="1">
      <alignment horizontal="center" vertical="center"/>
    </xf>
    <xf numFmtId="0" fontId="36" fillId="0" borderId="0" xfId="0" applyFont="1" applyAlignment="1">
      <alignment horizontal="left" vertical="center"/>
    </xf>
    <xf numFmtId="0" fontId="33" fillId="0" borderId="0" xfId="0" applyFont="1" applyAlignment="1">
      <alignment vertical="center"/>
    </xf>
    <xf numFmtId="0" fontId="33" fillId="0" borderId="0" xfId="0" applyFont="1" applyAlignment="1">
      <alignment horizontal="right"/>
    </xf>
    <xf numFmtId="0" fontId="33" fillId="0" borderId="0" xfId="0" quotePrefix="1" applyFont="1"/>
    <xf numFmtId="0" fontId="31" fillId="0" borderId="1" xfId="10" applyFont="1" applyFill="1" applyBorder="1" applyAlignment="1">
      <alignment horizontal="left" vertical="center"/>
    </xf>
    <xf numFmtId="0" fontId="33" fillId="0" borderId="1" xfId="0" applyFont="1" applyBorder="1" applyAlignment="1">
      <alignment horizontal="center"/>
    </xf>
    <xf numFmtId="0" fontId="33" fillId="0" borderId="0" xfId="0" applyFont="1" applyAlignment="1">
      <alignment horizontal="center" wrapText="1"/>
    </xf>
    <xf numFmtId="0" fontId="29" fillId="0" borderId="1" xfId="0" quotePrefix="1" applyFont="1" applyFill="1" applyBorder="1" applyAlignment="1">
      <alignment horizontal="center"/>
    </xf>
    <xf numFmtId="0" fontId="33" fillId="0" borderId="1" xfId="0" applyFont="1" applyFill="1" applyBorder="1" applyAlignment="1">
      <alignment vertical="center"/>
    </xf>
    <xf numFmtId="0" fontId="33" fillId="0" borderId="0" xfId="0" applyFont="1" applyBorder="1"/>
    <xf numFmtId="0" fontId="29" fillId="0" borderId="0" xfId="0" applyFont="1" applyAlignment="1">
      <alignment horizontal="right"/>
    </xf>
    <xf numFmtId="0" fontId="29" fillId="0" borderId="0" xfId="9" applyFont="1" applyAlignment="1">
      <alignment vertical="center"/>
    </xf>
    <xf numFmtId="0" fontId="29" fillId="0" borderId="0" xfId="9" applyFont="1" applyAlignment="1">
      <alignment horizontal="center" vertical="center"/>
    </xf>
    <xf numFmtId="0" fontId="29" fillId="0" borderId="0" xfId="9" applyFont="1" applyAlignment="1">
      <alignment horizontal="left" vertical="center"/>
    </xf>
    <xf numFmtId="0" fontId="40" fillId="0" borderId="0" xfId="9" applyFont="1" applyAlignment="1">
      <alignment vertical="center"/>
    </xf>
    <xf numFmtId="0" fontId="29" fillId="0" borderId="0" xfId="9" applyFont="1" applyAlignment="1">
      <alignment horizontal="right" vertical="center"/>
    </xf>
    <xf numFmtId="0" fontId="36" fillId="0" borderId="0" xfId="0" applyFont="1" applyAlignment="1">
      <alignment horizontal="left"/>
    </xf>
    <xf numFmtId="0" fontId="29" fillId="0" borderId="1" xfId="0" applyFont="1" applyFill="1" applyBorder="1" applyAlignment="1">
      <alignment horizontal="center" vertical="center" wrapText="1"/>
    </xf>
    <xf numFmtId="0" fontId="33" fillId="0" borderId="1" xfId="0" quotePrefix="1" applyFont="1" applyFill="1" applyBorder="1" applyAlignment="1">
      <alignment horizontal="center" vertical="center"/>
    </xf>
    <xf numFmtId="0" fontId="33" fillId="0" borderId="2" xfId="0" quotePrefix="1" applyFont="1" applyFill="1" applyBorder="1" applyAlignment="1">
      <alignment horizontal="center" vertical="center"/>
    </xf>
    <xf numFmtId="0" fontId="33" fillId="0" borderId="0" xfId="0" quotePrefix="1" applyFont="1" applyAlignment="1">
      <alignment horizontal="left"/>
    </xf>
    <xf numFmtId="0" fontId="33" fillId="0" borderId="0" xfId="0" quotePrefix="1" applyFont="1" applyAlignment="1"/>
    <xf numFmtId="0" fontId="43" fillId="0" borderId="0" xfId="0" applyFont="1"/>
    <xf numFmtId="0" fontId="33" fillId="0" borderId="0" xfId="0" applyFont="1" applyFill="1" applyAlignment="1"/>
    <xf numFmtId="0" fontId="33" fillId="0" borderId="0" xfId="0" applyFont="1" applyFill="1" applyAlignment="1">
      <alignment horizontal="center"/>
    </xf>
    <xf numFmtId="0" fontId="29" fillId="0" borderId="1" xfId="0" quotePrefix="1" applyFont="1" applyFill="1" applyBorder="1" applyAlignment="1">
      <alignment horizontal="center" vertical="center" wrapText="1"/>
    </xf>
    <xf numFmtId="0" fontId="33" fillId="0" borderId="1" xfId="0" quotePrefix="1" applyFont="1" applyBorder="1" applyAlignment="1">
      <alignment horizontal="center" vertical="center" wrapText="1"/>
    </xf>
    <xf numFmtId="0" fontId="29" fillId="0" borderId="1" xfId="0" quotePrefix="1" applyFont="1" applyFill="1" applyBorder="1" applyAlignment="1">
      <alignment horizontal="center" vertical="center"/>
    </xf>
    <xf numFmtId="0" fontId="42" fillId="0" borderId="0" xfId="0" applyFont="1" applyAlignment="1">
      <alignment horizontal="right"/>
    </xf>
    <xf numFmtId="0" fontId="29" fillId="0" borderId="2" xfId="0" applyFont="1" applyFill="1" applyBorder="1" applyAlignment="1">
      <alignment horizontal="center" vertical="center"/>
    </xf>
    <xf numFmtId="0" fontId="33" fillId="0" borderId="2" xfId="0" quotePrefix="1" applyFont="1" applyBorder="1" applyAlignment="1">
      <alignment horizontal="center" vertical="center"/>
    </xf>
    <xf numFmtId="0" fontId="42" fillId="0" borderId="0" xfId="0" applyFont="1" applyBorder="1" applyAlignment="1">
      <alignment horizontal="center"/>
    </xf>
    <xf numFmtId="0" fontId="33" fillId="0" borderId="1" xfId="0" quotePrefix="1" applyFont="1" applyFill="1" applyBorder="1" applyAlignment="1">
      <alignment horizontal="center" vertical="center" wrapText="1"/>
    </xf>
    <xf numFmtId="0" fontId="33" fillId="5" borderId="7" xfId="0" applyFont="1" applyFill="1" applyBorder="1"/>
    <xf numFmtId="0" fontId="33" fillId="5" borderId="0" xfId="0" applyFont="1" applyFill="1" applyBorder="1"/>
    <xf numFmtId="0" fontId="33" fillId="5" borderId="7" xfId="0" quotePrefix="1" applyFont="1" applyFill="1" applyBorder="1" applyAlignment="1">
      <alignment horizontal="center" vertical="center"/>
    </xf>
    <xf numFmtId="0" fontId="33" fillId="5" borderId="7" xfId="0" quotePrefix="1" applyFont="1" applyFill="1" applyBorder="1" applyAlignment="1">
      <alignment horizontal="center" vertical="center" wrapText="1"/>
    </xf>
    <xf numFmtId="0" fontId="33" fillId="8" borderId="1" xfId="0" quotePrefix="1" applyFont="1" applyFill="1" applyBorder="1" applyAlignment="1">
      <alignment horizontal="center" vertical="center"/>
    </xf>
    <xf numFmtId="166" fontId="29" fillId="0" borderId="1" xfId="5" applyNumberFormat="1" applyFont="1" applyFill="1" applyBorder="1" applyAlignment="1">
      <alignment horizontal="center" vertical="center"/>
    </xf>
    <xf numFmtId="14" fontId="33" fillId="0" borderId="0" xfId="0" applyNumberFormat="1" applyFont="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3" fillId="0" borderId="0" xfId="0" applyFont="1" applyBorder="1" applyAlignment="1">
      <alignment vertical="center"/>
    </xf>
    <xf numFmtId="0" fontId="36" fillId="7" borderId="0" xfId="0" applyFont="1" applyFill="1" applyBorder="1" applyAlignment="1">
      <alignment vertical="center"/>
    </xf>
    <xf numFmtId="14" fontId="33" fillId="0" borderId="0" xfId="0" applyNumberFormat="1" applyFont="1" applyBorder="1" applyAlignment="1">
      <alignment vertical="center"/>
    </xf>
    <xf numFmtId="0" fontId="31" fillId="0" borderId="3" xfId="10" applyFont="1" applyFill="1" applyBorder="1" applyAlignment="1">
      <alignment vertical="center"/>
    </xf>
    <xf numFmtId="0" fontId="33" fillId="0" borderId="3" xfId="0" applyFont="1" applyFill="1" applyBorder="1" applyAlignment="1">
      <alignment vertical="center"/>
    </xf>
    <xf numFmtId="0" fontId="33" fillId="0" borderId="3" xfId="0" applyFont="1" applyBorder="1" applyAlignment="1">
      <alignment horizontal="left" vertical="center"/>
    </xf>
    <xf numFmtId="49" fontId="41" fillId="5" borderId="3" xfId="4" applyNumberFormat="1" applyFont="1" applyFill="1" applyBorder="1" applyAlignment="1">
      <alignment horizontal="left" vertical="center"/>
    </xf>
    <xf numFmtId="2" fontId="29" fillId="0" borderId="1" xfId="2" quotePrefix="1" applyNumberFormat="1" applyFont="1" applyFill="1" applyBorder="1" applyAlignment="1">
      <alignment horizontal="center" vertical="center" wrapText="1"/>
    </xf>
    <xf numFmtId="0" fontId="33" fillId="5" borderId="2" xfId="0" applyFont="1" applyFill="1" applyBorder="1"/>
    <xf numFmtId="0" fontId="33" fillId="5" borderId="2" xfId="0" quotePrefix="1" applyFont="1" applyFill="1" applyBorder="1" applyAlignment="1">
      <alignment horizontal="center" vertical="center"/>
    </xf>
    <xf numFmtId="2" fontId="29" fillId="0" borderId="1" xfId="2" applyNumberFormat="1" applyFont="1" applyBorder="1" applyAlignment="1">
      <alignment horizontal="center" vertical="center"/>
    </xf>
    <xf numFmtId="2" fontId="29" fillId="0" borderId="1" xfId="2" applyNumberFormat="1" applyFont="1" applyBorder="1" applyAlignment="1">
      <alignment horizontal="left" vertical="center"/>
    </xf>
    <xf numFmtId="2" fontId="29" fillId="0" borderId="1" xfId="2" applyNumberFormat="1" applyFont="1" applyFill="1" applyBorder="1" applyAlignment="1">
      <alignment horizontal="left" vertical="center"/>
    </xf>
    <xf numFmtId="0" fontId="40" fillId="0" borderId="0" xfId="0" applyFont="1" applyAlignment="1">
      <alignment vertical="center"/>
    </xf>
    <xf numFmtId="0" fontId="40" fillId="0" borderId="0" xfId="0" applyFont="1"/>
    <xf numFmtId="0" fontId="40" fillId="0" borderId="0" xfId="0" applyFont="1" applyAlignment="1">
      <alignment wrapText="1"/>
    </xf>
    <xf numFmtId="0" fontId="40" fillId="0" borderId="0" xfId="0" applyFont="1" applyAlignment="1"/>
    <xf numFmtId="2" fontId="36" fillId="0" borderId="0" xfId="0" applyNumberFormat="1" applyFont="1"/>
    <xf numFmtId="168" fontId="33" fillId="0" borderId="8" xfId="0" applyNumberFormat="1" applyFont="1" applyFill="1" applyBorder="1" applyAlignment="1">
      <alignment horizontal="center"/>
    </xf>
    <xf numFmtId="168" fontId="33" fillId="0" borderId="6" xfId="0" applyNumberFormat="1" applyFont="1" applyFill="1" applyBorder="1" applyAlignment="1">
      <alignment horizontal="center"/>
    </xf>
    <xf numFmtId="168" fontId="33" fillId="0" borderId="6" xfId="0" applyNumberFormat="1" applyFont="1" applyBorder="1" applyAlignment="1">
      <alignment horizontal="center"/>
    </xf>
    <xf numFmtId="168" fontId="33" fillId="0" borderId="0" xfId="0" applyNumberFormat="1" applyFont="1" applyBorder="1" applyAlignment="1">
      <alignment horizontal="center"/>
    </xf>
    <xf numFmtId="168" fontId="33" fillId="0" borderId="0" xfId="0" applyNumberFormat="1" applyFont="1" applyFill="1" applyBorder="1" applyAlignment="1">
      <alignment horizontal="center"/>
    </xf>
    <xf numFmtId="0" fontId="33" fillId="0" borderId="0" xfId="0" applyFont="1" applyFill="1" applyBorder="1"/>
    <xf numFmtId="168" fontId="33" fillId="0" borderId="0" xfId="0" applyNumberFormat="1" applyFont="1" applyAlignment="1">
      <alignment horizontal="center"/>
    </xf>
    <xf numFmtId="0" fontId="29" fillId="0" borderId="0" xfId="2" quotePrefix="1" applyNumberFormat="1" applyFont="1" applyAlignment="1">
      <alignment horizontal="left" vertical="center"/>
    </xf>
    <xf numFmtId="168" fontId="33" fillId="0" borderId="0" xfId="0" applyNumberFormat="1" applyFont="1"/>
    <xf numFmtId="0" fontId="29" fillId="0" borderId="0" xfId="2" applyNumberFormat="1" applyFont="1" applyAlignment="1">
      <alignment horizontal="left" vertical="center"/>
    </xf>
    <xf numFmtId="0" fontId="29" fillId="0" borderId="0" xfId="2" applyNumberFormat="1" applyFont="1" applyAlignment="1">
      <alignment horizontal="left" vertical="center" indent="1"/>
    </xf>
    <xf numFmtId="0" fontId="29" fillId="0" borderId="0" xfId="2" applyNumberFormat="1" applyFont="1" applyAlignment="1">
      <alignment horizontal="center" vertical="center"/>
    </xf>
    <xf numFmtId="0" fontId="40" fillId="0" borderId="0" xfId="2" applyNumberFormat="1" applyFont="1" applyAlignment="1">
      <alignment horizontal="left" vertical="center"/>
    </xf>
    <xf numFmtId="0" fontId="31" fillId="0" borderId="6" xfId="10" applyFont="1" applyFill="1" applyBorder="1" applyAlignment="1">
      <alignment vertical="center"/>
    </xf>
    <xf numFmtId="0" fontId="29" fillId="0" borderId="6" xfId="0" quotePrefix="1" applyFont="1" applyFill="1" applyBorder="1" applyAlignment="1">
      <alignment horizontal="center"/>
    </xf>
    <xf numFmtId="49" fontId="35" fillId="5" borderId="7" xfId="4" applyNumberFormat="1" applyFont="1" applyFill="1" applyBorder="1" applyAlignment="1">
      <alignment vertical="center"/>
    </xf>
    <xf numFmtId="0" fontId="29" fillId="5" borderId="7" xfId="0" quotePrefix="1" applyFont="1" applyFill="1" applyBorder="1" applyAlignment="1">
      <alignment horizontal="center"/>
    </xf>
    <xf numFmtId="0" fontId="29" fillId="5" borderId="7" xfId="0" applyFont="1" applyFill="1" applyBorder="1" applyAlignment="1">
      <alignment horizontal="center"/>
    </xf>
    <xf numFmtId="0" fontId="29" fillId="0" borderId="0" xfId="2" applyNumberFormat="1" applyFont="1" applyAlignment="1">
      <alignment vertical="center"/>
    </xf>
    <xf numFmtId="0" fontId="33" fillId="7" borderId="1" xfId="0" applyFont="1" applyFill="1" applyBorder="1" applyAlignment="1">
      <alignment vertical="center"/>
    </xf>
    <xf numFmtId="0" fontId="33" fillId="0" borderId="1" xfId="0" applyFont="1" applyBorder="1" applyAlignment="1">
      <alignment vertical="center" wrapText="1"/>
    </xf>
    <xf numFmtId="0" fontId="33" fillId="7" borderId="1" xfId="0" applyFont="1" applyFill="1" applyBorder="1" applyAlignment="1">
      <alignment vertical="center" wrapText="1"/>
    </xf>
    <xf numFmtId="0" fontId="29" fillId="0" borderId="1" xfId="6" applyNumberFormat="1" applyFont="1" applyBorder="1" applyAlignment="1">
      <alignment horizontal="left" vertical="center"/>
    </xf>
    <xf numFmtId="0" fontId="33" fillId="0" borderId="1" xfId="0" quotePrefix="1" applyFont="1" applyBorder="1" applyAlignment="1">
      <alignment vertical="center" wrapText="1"/>
    </xf>
    <xf numFmtId="14" fontId="45" fillId="0" borderId="0" xfId="0" applyNumberFormat="1" applyFont="1" applyBorder="1" applyAlignment="1">
      <alignment vertical="center"/>
    </xf>
    <xf numFmtId="14" fontId="36" fillId="5" borderId="1" xfId="0" applyNumberFormat="1" applyFont="1" applyFill="1" applyBorder="1" applyAlignment="1">
      <alignment horizontal="center" vertical="center"/>
    </xf>
    <xf numFmtId="0" fontId="36" fillId="5" borderId="1" xfId="0" applyFont="1" applyFill="1" applyBorder="1" applyAlignment="1">
      <alignment horizontal="center" vertical="center"/>
    </xf>
    <xf numFmtId="0" fontId="36" fillId="5" borderId="1" xfId="0" applyFont="1" applyFill="1" applyBorder="1" applyAlignment="1">
      <alignment vertical="center"/>
    </xf>
    <xf numFmtId="0" fontId="45" fillId="0" borderId="0" xfId="0" applyFont="1" applyAlignment="1">
      <alignment vertical="center"/>
    </xf>
    <xf numFmtId="0" fontId="36" fillId="9" borderId="1" xfId="0" applyFont="1" applyFill="1" applyBorder="1" applyAlignment="1">
      <alignment horizontal="center" vertical="center"/>
    </xf>
    <xf numFmtId="0" fontId="36" fillId="9" borderId="1" xfId="0" applyFont="1" applyFill="1" applyBorder="1" applyAlignment="1">
      <alignment horizontal="center" vertical="center" wrapText="1"/>
    </xf>
    <xf numFmtId="0" fontId="33" fillId="5" borderId="7" xfId="0" applyFont="1" applyFill="1" applyBorder="1" applyAlignment="1">
      <alignment horizontal="center"/>
    </xf>
    <xf numFmtId="0" fontId="33" fillId="5" borderId="7" xfId="0" applyFont="1" applyFill="1" applyBorder="1" applyAlignment="1">
      <alignment horizontal="center" vertical="center"/>
    </xf>
    <xf numFmtId="0" fontId="33" fillId="0" borderId="4" xfId="0" applyFont="1" applyBorder="1" applyAlignment="1">
      <alignment horizontal="left" vertical="center"/>
    </xf>
    <xf numFmtId="0" fontId="33" fillId="0" borderId="6" xfId="0" applyFont="1" applyBorder="1" applyAlignment="1">
      <alignment horizontal="left" vertical="center"/>
    </xf>
    <xf numFmtId="0" fontId="33" fillId="0" borderId="5" xfId="0" applyFont="1" applyBorder="1" applyAlignment="1">
      <alignment horizontal="left" vertical="center"/>
    </xf>
    <xf numFmtId="0" fontId="35" fillId="9" borderId="5" xfId="4" applyNumberFormat="1" applyFont="1" applyFill="1" applyBorder="1" applyAlignment="1">
      <alignment horizontal="center" vertical="center" wrapText="1"/>
    </xf>
    <xf numFmtId="0" fontId="35" fillId="9" borderId="1" xfId="4" applyNumberFormat="1" applyFont="1" applyFill="1" applyBorder="1" applyAlignment="1">
      <alignment horizontal="center" vertical="center" wrapText="1"/>
    </xf>
    <xf numFmtId="0" fontId="42" fillId="4" borderId="1" xfId="0" applyFont="1" applyFill="1" applyBorder="1" applyAlignment="1">
      <alignment horizontal="center"/>
    </xf>
    <xf numFmtId="0" fontId="42" fillId="0" borderId="0" xfId="0" applyFont="1" applyFill="1" applyAlignment="1">
      <alignment horizontal="right"/>
    </xf>
    <xf numFmtId="167" fontId="29" fillId="9" borderId="2" xfId="2" applyNumberFormat="1" applyFont="1" applyFill="1" applyBorder="1" applyAlignment="1">
      <alignment horizontal="center" vertical="center"/>
    </xf>
    <xf numFmtId="167" fontId="29" fillId="9" borderId="1" xfId="2" applyNumberFormat="1" applyFont="1" applyFill="1" applyBorder="1" applyAlignment="1">
      <alignment horizontal="center" vertical="center"/>
    </xf>
    <xf numFmtId="167" fontId="29" fillId="9" borderId="13" xfId="2" applyNumberFormat="1" applyFont="1" applyFill="1" applyBorder="1" applyAlignment="1">
      <alignment horizontal="center" vertical="center"/>
    </xf>
    <xf numFmtId="167" fontId="29" fillId="9" borderId="4" xfId="2" applyNumberFormat="1" applyFont="1" applyFill="1" applyBorder="1" applyAlignment="1">
      <alignment horizontal="center" vertical="center"/>
    </xf>
    <xf numFmtId="167" fontId="29" fillId="9" borderId="4" xfId="2" applyNumberFormat="1" applyFont="1" applyFill="1" applyBorder="1" applyAlignment="1">
      <alignment horizontal="center" vertical="center" wrapText="1"/>
    </xf>
    <xf numFmtId="0" fontId="29" fillId="0" borderId="0" xfId="2" applyNumberFormat="1" applyFont="1" applyFill="1" applyAlignment="1">
      <alignment horizontal="center" vertical="center"/>
    </xf>
    <xf numFmtId="0" fontId="29" fillId="0" borderId="0" xfId="2" quotePrefix="1" applyNumberFormat="1" applyFont="1" applyFill="1" applyAlignment="1">
      <alignment horizontal="left" vertical="center"/>
    </xf>
    <xf numFmtId="0" fontId="29" fillId="0" borderId="0" xfId="2" applyNumberFormat="1" applyFont="1" applyFill="1" applyAlignment="1">
      <alignment horizontal="left" vertical="center"/>
    </xf>
    <xf numFmtId="0" fontId="29" fillId="0" borderId="0" xfId="0" applyFont="1" applyFill="1"/>
    <xf numFmtId="0" fontId="50" fillId="0" borderId="0" xfId="2" applyNumberFormat="1" applyFont="1" applyFill="1" applyAlignment="1">
      <alignment horizontal="left" vertical="center"/>
    </xf>
    <xf numFmtId="2" fontId="29" fillId="0" borderId="0" xfId="2" quotePrefix="1" applyNumberFormat="1" applyFont="1" applyFill="1" applyAlignment="1">
      <alignment horizontal="center" vertical="center"/>
    </xf>
    <xf numFmtId="0" fontId="36" fillId="0" borderId="0" xfId="0" applyFont="1" applyAlignment="1">
      <alignment horizontal="center"/>
    </xf>
    <xf numFmtId="2" fontId="36" fillId="0" borderId="0" xfId="0" applyNumberFormat="1" applyFont="1" applyAlignment="1">
      <alignment horizontal="center"/>
    </xf>
    <xf numFmtId="167" fontId="35" fillId="9" borderId="1" xfId="2" applyNumberFormat="1" applyFont="1" applyFill="1" applyBorder="1" applyAlignment="1">
      <alignment horizontal="center" vertical="center" wrapText="1"/>
    </xf>
    <xf numFmtId="0" fontId="53" fillId="0" borderId="16" xfId="14" applyAlignment="1">
      <alignment horizontal="center"/>
    </xf>
    <xf numFmtId="0" fontId="54" fillId="0" borderId="0" xfId="0" applyFont="1"/>
    <xf numFmtId="0" fontId="53" fillId="0" borderId="0" xfId="14" applyFill="1" applyBorder="1" applyAlignment="1">
      <alignment horizontal="left"/>
    </xf>
    <xf numFmtId="0" fontId="55" fillId="0" borderId="0" xfId="0" applyFont="1"/>
    <xf numFmtId="0" fontId="0" fillId="0" borderId="0" xfId="0" applyAlignment="1">
      <alignment horizontal="center"/>
    </xf>
    <xf numFmtId="2" fontId="55" fillId="0" borderId="0" xfId="3" applyNumberFormat="1" applyFont="1" applyBorder="1" applyAlignment="1">
      <alignment vertical="top" wrapText="1"/>
    </xf>
    <xf numFmtId="2" fontId="58" fillId="0" borderId="0" xfId="3" applyNumberFormat="1" applyFont="1" applyBorder="1" applyAlignment="1">
      <alignment vertical="top" wrapText="1"/>
    </xf>
    <xf numFmtId="0" fontId="60" fillId="0" borderId="0" xfId="0" applyFont="1"/>
    <xf numFmtId="0" fontId="61" fillId="0" borderId="0" xfId="0" applyFont="1"/>
    <xf numFmtId="0" fontId="37" fillId="0" borderId="0" xfId="0" applyFont="1"/>
    <xf numFmtId="0" fontId="62" fillId="0" borderId="0" xfId="0" applyFont="1"/>
    <xf numFmtId="2" fontId="29" fillId="0" borderId="0" xfId="2" applyNumberFormat="1" applyFont="1" applyAlignment="1">
      <alignment horizontal="left" vertical="center"/>
    </xf>
    <xf numFmtId="0" fontId="29" fillId="0" borderId="1" xfId="6" applyNumberFormat="1" applyFont="1" applyBorder="1" applyAlignment="1">
      <alignment horizontal="center" vertical="center"/>
    </xf>
    <xf numFmtId="0" fontId="33" fillId="0" borderId="0" xfId="0" applyFont="1" applyBorder="1" applyAlignment="1">
      <alignment horizontal="left" vertical="center"/>
    </xf>
    <xf numFmtId="166" fontId="33" fillId="0" borderId="0" xfId="0" applyNumberFormat="1" applyFont="1" applyBorder="1" applyAlignment="1">
      <alignment horizontal="center"/>
    </xf>
    <xf numFmtId="166" fontId="29" fillId="0" borderId="0" xfId="5" applyNumberFormat="1" applyFont="1" applyFill="1" applyBorder="1" applyAlignment="1">
      <alignment horizontal="center" vertical="center"/>
    </xf>
    <xf numFmtId="168" fontId="33" fillId="0" borderId="1" xfId="0" applyNumberFormat="1" applyFont="1" applyBorder="1" applyAlignment="1">
      <alignment horizontal="center"/>
    </xf>
    <xf numFmtId="0" fontId="33" fillId="11" borderId="1" xfId="0" applyFont="1" applyFill="1" applyBorder="1" applyAlignment="1">
      <alignment vertical="center"/>
    </xf>
    <xf numFmtId="0" fontId="33" fillId="12" borderId="1" xfId="0" applyFont="1" applyFill="1" applyBorder="1" applyAlignment="1">
      <alignment vertical="center"/>
    </xf>
    <xf numFmtId="0" fontId="33" fillId="12" borderId="1" xfId="0" applyFont="1" applyFill="1" applyBorder="1" applyAlignment="1">
      <alignment horizontal="left" vertical="center"/>
    </xf>
    <xf numFmtId="0" fontId="29" fillId="3" borderId="1" xfId="6" applyNumberFormat="1" applyFont="1" applyFill="1" applyBorder="1" applyAlignment="1">
      <alignment horizontal="left" vertical="center"/>
    </xf>
    <xf numFmtId="0" fontId="0" fillId="0" borderId="0" xfId="0" applyAlignment="1">
      <alignment wrapText="1"/>
    </xf>
    <xf numFmtId="49" fontId="41" fillId="5" borderId="11" xfId="4" applyNumberFormat="1" applyFont="1" applyFill="1" applyBorder="1" applyAlignment="1">
      <alignment horizontal="left" vertical="center"/>
    </xf>
    <xf numFmtId="0" fontId="33" fillId="5" borderId="12" xfId="0" applyFont="1" applyFill="1" applyBorder="1" applyAlignment="1">
      <alignment horizontal="center"/>
    </xf>
    <xf numFmtId="0" fontId="33" fillId="5" borderId="12" xfId="0" applyFont="1" applyFill="1" applyBorder="1"/>
    <xf numFmtId="0" fontId="33" fillId="5" borderId="8" xfId="0" applyFont="1" applyFill="1" applyBorder="1"/>
    <xf numFmtId="0" fontId="0" fillId="0" borderId="0" xfId="0" applyAlignment="1">
      <alignment vertical="top" wrapText="1"/>
    </xf>
    <xf numFmtId="165" fontId="29" fillId="0" borderId="1" xfId="0" applyNumberFormat="1" applyFont="1" applyFill="1" applyBorder="1" applyAlignment="1">
      <alignment horizontal="center" vertical="center"/>
    </xf>
    <xf numFmtId="0" fontId="0" fillId="0" borderId="0" xfId="0" applyFont="1" applyBorder="1" applyAlignment="1">
      <alignment vertical="top" wrapText="1"/>
    </xf>
    <xf numFmtId="0" fontId="0" fillId="0" borderId="0" xfId="0" applyBorder="1" applyAlignment="1">
      <alignment vertical="top" wrapText="1"/>
    </xf>
    <xf numFmtId="0" fontId="0" fillId="0" borderId="1" xfId="15" applyFont="1" applyFill="1" applyBorder="1" applyAlignment="1">
      <alignment horizontal="left" vertical="top" wrapText="1"/>
    </xf>
    <xf numFmtId="2" fontId="0" fillId="0" borderId="1" xfId="15" applyNumberFormat="1" applyFont="1" applyFill="1" applyBorder="1" applyAlignment="1">
      <alignment horizontal="center" vertical="top" wrapText="1"/>
    </xf>
    <xf numFmtId="2" fontId="0" fillId="0" borderId="1" xfId="15" applyNumberFormat="1" applyFont="1" applyFill="1" applyBorder="1" applyAlignment="1">
      <alignment horizontal="left" vertical="top" wrapText="1"/>
    </xf>
    <xf numFmtId="2" fontId="0" fillId="0" borderId="0" xfId="15" applyNumberFormat="1" applyFont="1" applyFill="1" applyBorder="1" applyAlignment="1">
      <alignment horizontal="center" vertical="top" wrapText="1"/>
    </xf>
    <xf numFmtId="0" fontId="32" fillId="0" borderId="0" xfId="15" applyFill="1" applyAlignment="1">
      <alignment vertical="top" wrapText="1"/>
    </xf>
    <xf numFmtId="0" fontId="32" fillId="0" borderId="0" xfId="15" applyFill="1" applyBorder="1" applyAlignment="1">
      <alignment vertical="top" wrapText="1"/>
    </xf>
    <xf numFmtId="0" fontId="0" fillId="0" borderId="0" xfId="15" applyFont="1" applyFill="1" applyBorder="1" applyAlignment="1">
      <alignment vertical="top" wrapText="1"/>
    </xf>
    <xf numFmtId="2" fontId="0" fillId="0" borderId="0" xfId="15" applyNumberFormat="1" applyFont="1" applyFill="1" applyBorder="1" applyAlignment="1">
      <alignment vertical="top" wrapText="1"/>
    </xf>
    <xf numFmtId="0" fontId="0" fillId="0" borderId="0" xfId="0" applyFont="1" applyFill="1" applyBorder="1" applyAlignment="1">
      <alignment vertical="top" wrapText="1"/>
    </xf>
    <xf numFmtId="0" fontId="55" fillId="0" borderId="0" xfId="0" applyFont="1" applyFill="1" applyBorder="1" applyAlignment="1">
      <alignment vertical="top" wrapText="1"/>
    </xf>
    <xf numFmtId="0" fontId="34" fillId="0" borderId="0" xfId="0" applyFont="1" applyBorder="1" applyAlignment="1">
      <alignment vertical="top" wrapText="1"/>
    </xf>
    <xf numFmtId="0" fontId="0" fillId="0" borderId="0" xfId="0" applyFont="1" applyFill="1" applyBorder="1" applyAlignment="1">
      <alignment horizontal="center" vertical="top" wrapText="1"/>
    </xf>
    <xf numFmtId="165" fontId="0" fillId="0" borderId="1" xfId="15" applyNumberFormat="1" applyFont="1" applyFill="1" applyBorder="1" applyAlignment="1">
      <alignment horizontal="center" vertical="top" wrapText="1"/>
    </xf>
    <xf numFmtId="0" fontId="28" fillId="0" borderId="0" xfId="0" applyFont="1" applyAlignment="1">
      <alignment vertical="top" wrapText="1"/>
    </xf>
    <xf numFmtId="0" fontId="36" fillId="0" borderId="1" xfId="0" applyFont="1" applyBorder="1" applyAlignment="1">
      <alignment vertical="top" wrapText="1"/>
    </xf>
    <xf numFmtId="0" fontId="36" fillId="0" borderId="0" xfId="0" applyFont="1" applyBorder="1" applyAlignment="1">
      <alignment horizontal="center" vertical="center" wrapText="1"/>
    </xf>
    <xf numFmtId="168" fontId="29" fillId="5" borderId="7" xfId="0" applyNumberFormat="1" applyFont="1" applyFill="1" applyBorder="1" applyAlignment="1">
      <alignment horizontal="center"/>
    </xf>
    <xf numFmtId="0" fontId="28" fillId="3" borderId="1" xfId="0" applyFont="1" applyFill="1" applyBorder="1" applyAlignment="1">
      <alignment vertical="center"/>
    </xf>
    <xf numFmtId="2" fontId="36" fillId="0" borderId="0" xfId="0" applyNumberFormat="1" applyFont="1" applyAlignment="1">
      <alignment horizontal="left"/>
    </xf>
    <xf numFmtId="167" fontId="35" fillId="9" borderId="1" xfId="2" applyNumberFormat="1" applyFont="1" applyFill="1" applyBorder="1" applyAlignment="1">
      <alignment horizontal="center" vertical="center" wrapText="1"/>
    </xf>
    <xf numFmtId="2" fontId="55" fillId="0" borderId="1" xfId="3" applyNumberFormat="1" applyFont="1" applyBorder="1" applyAlignment="1">
      <alignment horizontal="left" vertical="top" wrapText="1"/>
    </xf>
    <xf numFmtId="0" fontId="0" fillId="0" borderId="0" xfId="0" applyFont="1" applyFill="1" applyBorder="1" applyAlignment="1">
      <alignment horizontal="left" vertical="top" wrapText="1"/>
    </xf>
    <xf numFmtId="2" fontId="0" fillId="0" borderId="0" xfId="0" applyNumberFormat="1" applyFont="1" applyBorder="1" applyAlignment="1">
      <alignment vertical="top" wrapText="1"/>
    </xf>
    <xf numFmtId="0" fontId="27" fillId="0" borderId="0" xfId="0" applyFont="1"/>
    <xf numFmtId="49" fontId="41" fillId="5" borderId="3" xfId="4" applyNumberFormat="1" applyFont="1" applyFill="1" applyBorder="1" applyAlignment="1">
      <alignment horizontal="left" vertical="center"/>
    </xf>
    <xf numFmtId="167" fontId="29" fillId="9" borderId="9" xfId="2" applyNumberFormat="1" applyFont="1" applyFill="1" applyBorder="1" applyAlignment="1">
      <alignment horizontal="center" vertical="center"/>
    </xf>
    <xf numFmtId="0" fontId="26" fillId="0" borderId="0" xfId="0" applyFont="1"/>
    <xf numFmtId="0" fontId="25" fillId="0" borderId="1" xfId="0" applyFont="1" applyBorder="1" applyAlignment="1">
      <alignment vertical="center"/>
    </xf>
    <xf numFmtId="0" fontId="25" fillId="0" borderId="0" xfId="0" applyFont="1"/>
    <xf numFmtId="168" fontId="33" fillId="0" borderId="3" xfId="0" applyNumberFormat="1" applyFont="1" applyBorder="1" applyAlignment="1">
      <alignment horizontal="center"/>
    </xf>
    <xf numFmtId="0" fontId="25" fillId="0" borderId="1" xfId="0" applyFont="1" applyBorder="1"/>
    <xf numFmtId="11" fontId="0" fillId="0" borderId="0" xfId="0" applyNumberFormat="1"/>
    <xf numFmtId="0" fontId="36" fillId="4" borderId="0" xfId="0" applyFont="1" applyFill="1"/>
    <xf numFmtId="0" fontId="33" fillId="4" borderId="0" xfId="0" applyFont="1" applyFill="1" applyAlignment="1">
      <alignment horizontal="left"/>
    </xf>
    <xf numFmtId="0" fontId="33" fillId="4" borderId="0" xfId="0" applyFont="1" applyFill="1" applyAlignment="1">
      <alignment horizontal="center"/>
    </xf>
    <xf numFmtId="0" fontId="33" fillId="4" borderId="0" xfId="0" applyFont="1" applyFill="1"/>
    <xf numFmtId="2" fontId="33" fillId="4" borderId="0" xfId="11" applyNumberFormat="1" applyFont="1" applyFill="1" applyAlignment="1">
      <alignment horizontal="center"/>
    </xf>
    <xf numFmtId="166" fontId="28" fillId="4" borderId="0" xfId="11" applyNumberFormat="1" applyFont="1" applyFill="1" applyAlignment="1">
      <alignment horizontal="left"/>
    </xf>
    <xf numFmtId="0" fontId="29" fillId="4" borderId="1" xfId="0" applyFont="1" applyFill="1" applyBorder="1" applyAlignment="1">
      <alignment horizontal="center" vertical="center"/>
    </xf>
    <xf numFmtId="0" fontId="33" fillId="4" borderId="1" xfId="0" quotePrefix="1" applyFont="1" applyFill="1" applyBorder="1" applyAlignment="1">
      <alignment horizontal="center" vertical="center"/>
    </xf>
    <xf numFmtId="0" fontId="33" fillId="4" borderId="1" xfId="0" applyFont="1" applyFill="1" applyBorder="1" applyAlignment="1">
      <alignment horizontal="center" vertical="center"/>
    </xf>
    <xf numFmtId="0" fontId="24" fillId="0" borderId="0" xfId="0" applyFont="1"/>
    <xf numFmtId="0" fontId="22" fillId="0" borderId="1" xfId="0" applyFont="1" applyBorder="1" applyAlignment="1">
      <alignment vertical="center" wrapText="1"/>
    </xf>
    <xf numFmtId="0" fontId="22" fillId="7" borderId="1" xfId="0" applyFont="1" applyFill="1" applyBorder="1" applyAlignment="1">
      <alignment vertical="center" wrapText="1"/>
    </xf>
    <xf numFmtId="0" fontId="29" fillId="0" borderId="0" xfId="2" applyNumberFormat="1" applyFont="1" applyAlignment="1">
      <alignment vertical="center"/>
    </xf>
    <xf numFmtId="2" fontId="23" fillId="0" borderId="1" xfId="2" applyNumberFormat="1" applyFont="1" applyBorder="1" applyAlignment="1">
      <alignment horizontal="center" vertical="center"/>
    </xf>
    <xf numFmtId="2" fontId="23" fillId="0" borderId="1" xfId="2" applyNumberFormat="1" applyFont="1" applyBorder="1" applyAlignment="1">
      <alignment horizontal="left" vertical="center"/>
    </xf>
    <xf numFmtId="0" fontId="22" fillId="0" borderId="1" xfId="0" applyFont="1" applyBorder="1" applyAlignment="1">
      <alignment horizontal="center"/>
    </xf>
    <xf numFmtId="0" fontId="22" fillId="0" borderId="1" xfId="0" applyFont="1" applyBorder="1" applyAlignment="1">
      <alignment vertical="center"/>
    </xf>
    <xf numFmtId="0" fontId="22" fillId="0" borderId="1" xfId="0" applyFont="1" applyBorder="1" applyAlignment="1">
      <alignment horizontal="center" vertical="center"/>
    </xf>
    <xf numFmtId="0" fontId="59" fillId="0" borderId="1" xfId="16" applyFill="1" applyBorder="1" applyAlignment="1">
      <alignment horizontal="left" vertical="top" wrapText="1"/>
    </xf>
    <xf numFmtId="2" fontId="0" fillId="0" borderId="1" xfId="3" applyNumberFormat="1" applyFont="1" applyBorder="1" applyAlignment="1">
      <alignment horizontal="left" vertical="top" wrapText="1"/>
    </xf>
    <xf numFmtId="2" fontId="57" fillId="0" borderId="1" xfId="0" applyNumberFormat="1" applyFont="1" applyBorder="1" applyAlignment="1">
      <alignment horizontal="left" vertical="top" wrapText="1"/>
    </xf>
    <xf numFmtId="2" fontId="59" fillId="0" borderId="1" xfId="16" applyNumberFormat="1" applyBorder="1" applyAlignment="1">
      <alignment horizontal="left" vertical="top" wrapText="1"/>
    </xf>
    <xf numFmtId="2" fontId="59" fillId="0" borderId="1" xfId="16" applyNumberFormat="1" applyFill="1" applyBorder="1" applyAlignment="1">
      <alignment horizontal="left" vertical="top" wrapText="1"/>
    </xf>
    <xf numFmtId="0" fontId="22" fillId="0" borderId="0" xfId="0" applyFont="1"/>
    <xf numFmtId="0" fontId="23" fillId="0" borderId="0" xfId="2" applyNumberFormat="1" applyFont="1" applyAlignment="1">
      <alignment horizontal="left" vertical="center"/>
    </xf>
    <xf numFmtId="2" fontId="23" fillId="0" borderId="0" xfId="2" applyNumberFormat="1" applyFont="1" applyAlignment="1">
      <alignment horizontal="center" vertical="center"/>
    </xf>
    <xf numFmtId="0" fontId="23" fillId="0" borderId="0" xfId="2" applyNumberFormat="1" applyFont="1" applyAlignment="1">
      <alignment horizontal="left" vertical="center" indent="1"/>
    </xf>
    <xf numFmtId="2" fontId="23" fillId="0" borderId="0" xfId="3" applyNumberFormat="1" applyFont="1" applyAlignment="1">
      <alignment horizontal="left" vertical="center"/>
    </xf>
    <xf numFmtId="0" fontId="23" fillId="0" borderId="0" xfId="2" quotePrefix="1" applyNumberFormat="1" applyFont="1" applyAlignment="1">
      <alignment horizontal="left" vertical="center"/>
    </xf>
    <xf numFmtId="0" fontId="23" fillId="0" borderId="0" xfId="2" quotePrefix="1" applyNumberFormat="1" applyFont="1" applyFill="1" applyAlignment="1">
      <alignment horizontal="left" vertical="center"/>
    </xf>
    <xf numFmtId="0" fontId="23" fillId="0" borderId="0" xfId="2" applyNumberFormat="1" applyFont="1" applyFill="1" applyAlignment="1">
      <alignment horizontal="left" vertical="center"/>
    </xf>
    <xf numFmtId="0" fontId="36" fillId="9" borderId="1" xfId="0" applyFont="1" applyFill="1" applyBorder="1" applyAlignment="1">
      <alignment horizontal="center" vertical="center" wrapText="1"/>
    </xf>
    <xf numFmtId="0" fontId="35" fillId="9" borderId="5" xfId="4" applyNumberFormat="1" applyFont="1" applyFill="1" applyBorder="1" applyAlignment="1">
      <alignment horizontal="center" vertical="center" wrapText="1"/>
    </xf>
    <xf numFmtId="0" fontId="0" fillId="0" borderId="1" xfId="15" applyFont="1" applyFill="1" applyBorder="1" applyAlignment="1">
      <alignment vertical="top" wrapText="1"/>
    </xf>
    <xf numFmtId="165" fontId="29" fillId="0" borderId="1" xfId="2" quotePrefix="1" applyNumberFormat="1"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vertical="center"/>
    </xf>
    <xf numFmtId="0" fontId="22" fillId="0" borderId="1" xfId="0" quotePrefix="1" applyFont="1" applyFill="1" applyBorder="1" applyAlignment="1">
      <alignment horizontal="center"/>
    </xf>
    <xf numFmtId="2" fontId="22" fillId="0" borderId="1" xfId="0" quotePrefix="1" applyNumberFormat="1" applyFont="1" applyFill="1" applyBorder="1" applyAlignment="1">
      <alignment horizontal="center"/>
    </xf>
    <xf numFmtId="2" fontId="22" fillId="0" borderId="1" xfId="0" quotePrefix="1" applyNumberFormat="1" applyFont="1" applyBorder="1" applyAlignment="1">
      <alignment horizontal="center"/>
    </xf>
    <xf numFmtId="0" fontId="35" fillId="4" borderId="0" xfId="0" applyFont="1" applyFill="1" applyAlignment="1">
      <alignment horizontal="center" vertical="center"/>
    </xf>
    <xf numFmtId="0" fontId="22" fillId="0" borderId="0" xfId="0" applyFont="1" applyFill="1" applyBorder="1" applyAlignment="1">
      <alignment horizontal="left"/>
    </xf>
    <xf numFmtId="0" fontId="33" fillId="0" borderId="0" xfId="0" applyFont="1" applyFill="1" applyBorder="1" applyAlignment="1">
      <alignment horizontal="left"/>
    </xf>
    <xf numFmtId="0" fontId="22" fillId="0" borderId="0" xfId="0" applyFont="1" applyFill="1" applyBorder="1" applyAlignment="1">
      <alignment horizontal="left" vertical="center"/>
    </xf>
    <xf numFmtId="49" fontId="23" fillId="5" borderId="7" xfId="4" applyNumberFormat="1" applyFont="1" applyFill="1" applyBorder="1" applyAlignment="1">
      <alignment horizontal="center" vertical="center"/>
    </xf>
    <xf numFmtId="49" fontId="23" fillId="5" borderId="1" xfId="4" applyNumberFormat="1" applyFont="1" applyFill="1" applyBorder="1" applyAlignment="1">
      <alignment horizontal="center" vertical="center"/>
    </xf>
    <xf numFmtId="0" fontId="0" fillId="0" borderId="0" xfId="0" quotePrefix="1"/>
    <xf numFmtId="165" fontId="22" fillId="0" borderId="0" xfId="0" quotePrefix="1" applyNumberFormat="1" applyFont="1" applyFill="1" applyBorder="1" applyAlignment="1">
      <alignment horizontal="center"/>
    </xf>
    <xf numFmtId="2" fontId="33" fillId="0" borderId="0" xfId="0" quotePrefix="1" applyNumberFormat="1" applyFont="1" applyBorder="1" applyAlignment="1">
      <alignment horizontal="center"/>
    </xf>
    <xf numFmtId="2" fontId="33" fillId="0" borderId="0" xfId="0" quotePrefix="1" applyNumberFormat="1" applyFont="1" applyFill="1" applyBorder="1" applyAlignment="1">
      <alignment horizontal="center"/>
    </xf>
    <xf numFmtId="0" fontId="22" fillId="0" borderId="0" xfId="0" quotePrefix="1" applyFont="1" applyBorder="1" applyAlignment="1">
      <alignment horizontal="center"/>
    </xf>
    <xf numFmtId="0" fontId="22" fillId="0" borderId="0" xfId="0" applyFont="1" applyAlignment="1">
      <alignment horizontal="left"/>
    </xf>
    <xf numFmtId="0" fontId="23" fillId="0" borderId="0" xfId="9" applyFont="1" applyAlignment="1">
      <alignment horizontal="left" vertical="center"/>
    </xf>
    <xf numFmtId="49" fontId="41" fillId="5" borderId="3" xfId="4" applyNumberFormat="1" applyFont="1" applyFill="1" applyBorder="1" applyAlignment="1">
      <alignment vertical="center"/>
    </xf>
    <xf numFmtId="2" fontId="23" fillId="0" borderId="0" xfId="3" applyNumberFormat="1" applyFont="1" applyAlignment="1">
      <alignment vertical="center"/>
    </xf>
    <xf numFmtId="167" fontId="23" fillId="9" borderId="1" xfId="2" applyNumberFormat="1" applyFont="1" applyFill="1" applyBorder="1" applyAlignment="1">
      <alignment horizontal="center" vertical="center"/>
    </xf>
    <xf numFmtId="167" fontId="23" fillId="9" borderId="13" xfId="2" applyNumberFormat="1" applyFont="1" applyFill="1" applyBorder="1" applyAlignment="1">
      <alignment horizontal="center" vertical="center"/>
    </xf>
    <xf numFmtId="0" fontId="23" fillId="0" borderId="0" xfId="2" applyNumberFormat="1" applyFont="1" applyAlignment="1">
      <alignment horizontal="center" vertical="center"/>
    </xf>
    <xf numFmtId="0" fontId="36" fillId="0" borderId="0" xfId="0" applyFont="1" applyFill="1"/>
    <xf numFmtId="0" fontId="33" fillId="0" borderId="0" xfId="0" applyFont="1" applyFill="1" applyAlignment="1">
      <alignment horizontal="left"/>
    </xf>
    <xf numFmtId="0" fontId="42" fillId="0" borderId="0" xfId="0" applyFont="1" applyFill="1"/>
    <xf numFmtId="0" fontId="40" fillId="0" borderId="0" xfId="0" applyFont="1" applyFill="1" applyAlignment="1">
      <alignment horizontal="left"/>
    </xf>
    <xf numFmtId="2" fontId="23" fillId="0" borderId="0" xfId="2" applyNumberFormat="1" applyFont="1" applyBorder="1" applyAlignment="1">
      <alignment horizontal="center" vertical="center"/>
    </xf>
    <xf numFmtId="2" fontId="23" fillId="0" borderId="0" xfId="2" applyNumberFormat="1" applyFont="1" applyBorder="1" applyAlignment="1">
      <alignment horizontal="center" vertical="center" wrapText="1"/>
    </xf>
    <xf numFmtId="165" fontId="29" fillId="0" borderId="0" xfId="2" quotePrefix="1" applyNumberFormat="1" applyFont="1" applyFill="1" applyBorder="1" applyAlignment="1">
      <alignment horizontal="center" vertical="center" wrapText="1"/>
    </xf>
    <xf numFmtId="2" fontId="29" fillId="0" borderId="1" xfId="2" applyNumberFormat="1" applyFont="1" applyBorder="1" applyAlignment="1">
      <alignment horizontal="center" vertical="center" wrapText="1"/>
    </xf>
    <xf numFmtId="2" fontId="23" fillId="0" borderId="1" xfId="2" applyNumberFormat="1" applyFont="1" applyBorder="1" applyAlignment="1">
      <alignment horizontal="center" vertical="center" wrapText="1"/>
    </xf>
    <xf numFmtId="49" fontId="41" fillId="5" borderId="1" xfId="4" applyNumberFormat="1" applyFont="1" applyFill="1" applyBorder="1" applyAlignment="1">
      <alignment vertical="center"/>
    </xf>
    <xf numFmtId="0" fontId="36" fillId="0" borderId="0" xfId="0" applyFont="1" applyBorder="1"/>
    <xf numFmtId="165" fontId="29" fillId="0" borderId="0" xfId="2" applyNumberFormat="1" applyFont="1" applyFill="1" applyAlignment="1">
      <alignment horizontal="center" vertical="center"/>
    </xf>
    <xf numFmtId="0" fontId="36" fillId="9" borderId="1" xfId="0" applyFont="1" applyFill="1" applyBorder="1" applyAlignment="1">
      <alignment horizontal="center" vertical="center" wrapText="1"/>
    </xf>
    <xf numFmtId="2" fontId="29" fillId="0" borderId="0" xfId="2" applyNumberFormat="1" applyFont="1" applyFill="1" applyAlignment="1">
      <alignment horizontal="center" vertical="center"/>
    </xf>
    <xf numFmtId="168" fontId="33" fillId="0" borderId="7" xfId="0" applyNumberFormat="1" applyFont="1" applyBorder="1" applyAlignment="1">
      <alignment horizontal="center"/>
    </xf>
    <xf numFmtId="168" fontId="22" fillId="0" borderId="1" xfId="0" applyNumberFormat="1" applyFont="1" applyFill="1" applyBorder="1" applyAlignment="1">
      <alignment horizontal="center"/>
    </xf>
    <xf numFmtId="0" fontId="23" fillId="0" borderId="0" xfId="2" quotePrefix="1" applyNumberFormat="1" applyFont="1" applyFill="1" applyAlignment="1">
      <alignment horizontal="left" vertical="center" wrapText="1"/>
    </xf>
    <xf numFmtId="0" fontId="23" fillId="0" borderId="0" xfId="2" applyNumberFormat="1" applyFont="1" applyAlignment="1">
      <alignment horizontal="left" vertical="center" indent="3"/>
    </xf>
    <xf numFmtId="0" fontId="29" fillId="0" borderId="0" xfId="2" applyNumberFormat="1" applyFont="1" applyAlignment="1">
      <alignment horizontal="left" vertical="center" indent="2"/>
    </xf>
    <xf numFmtId="0" fontId="29" fillId="0" borderId="0" xfId="2" quotePrefix="1" applyNumberFormat="1" applyFont="1" applyAlignment="1">
      <alignment horizontal="left" vertical="center" indent="2"/>
    </xf>
    <xf numFmtId="0" fontId="33" fillId="0" borderId="0" xfId="0" applyFont="1" applyAlignment="1">
      <alignment horizontal="left" indent="2"/>
    </xf>
    <xf numFmtId="0" fontId="23" fillId="0" borderId="0" xfId="2" applyNumberFormat="1" applyFont="1" applyAlignment="1">
      <alignment horizontal="left" vertical="center" indent="4"/>
    </xf>
    <xf numFmtId="0" fontId="29" fillId="0" borderId="0" xfId="2" applyNumberFormat="1" applyFont="1" applyAlignment="1">
      <alignment horizontal="left" vertical="center" indent="3"/>
    </xf>
    <xf numFmtId="0" fontId="29" fillId="0" borderId="0" xfId="2" quotePrefix="1" applyNumberFormat="1" applyFont="1" applyAlignment="1">
      <alignment horizontal="left" vertical="center" indent="3"/>
    </xf>
    <xf numFmtId="0" fontId="33" fillId="0" borderId="0" xfId="0" applyFont="1" applyAlignment="1">
      <alignment horizontal="left" indent="3"/>
    </xf>
    <xf numFmtId="0" fontId="29" fillId="0" borderId="0" xfId="2" applyNumberFormat="1" applyFont="1" applyAlignment="1">
      <alignment horizontal="left" vertical="center" indent="4"/>
    </xf>
    <xf numFmtId="0" fontId="69" fillId="0" borderId="0" xfId="2" applyNumberFormat="1" applyFont="1" applyAlignment="1">
      <alignment horizontal="center" vertical="center"/>
    </xf>
    <xf numFmtId="0" fontId="69" fillId="0" borderId="0" xfId="2" applyNumberFormat="1" applyFont="1" applyFill="1" applyAlignment="1">
      <alignment horizontal="center" vertical="center"/>
    </xf>
    <xf numFmtId="0" fontId="69" fillId="0" borderId="0" xfId="2" applyNumberFormat="1" applyFont="1" applyAlignment="1">
      <alignment horizontal="left" vertical="center"/>
    </xf>
    <xf numFmtId="2" fontId="29" fillId="0" borderId="0" xfId="2" applyNumberFormat="1" applyFont="1" applyAlignment="1">
      <alignment horizontal="left" vertical="center" indent="15"/>
    </xf>
    <xf numFmtId="2" fontId="29" fillId="0" borderId="1" xfId="2" quotePrefix="1" applyNumberFormat="1" applyFont="1" applyBorder="1" applyAlignment="1">
      <alignment horizontal="center" vertical="center" wrapText="1"/>
    </xf>
    <xf numFmtId="0" fontId="35" fillId="9" borderId="5" xfId="4" applyNumberFormat="1" applyFont="1" applyFill="1" applyBorder="1" applyAlignment="1">
      <alignment horizontal="center" vertical="center" wrapText="1"/>
    </xf>
    <xf numFmtId="0" fontId="0" fillId="0" borderId="0" xfId="0" applyBorder="1"/>
    <xf numFmtId="0" fontId="0" fillId="0" borderId="0" xfId="0" quotePrefix="1" applyBorder="1"/>
    <xf numFmtId="0" fontId="70" fillId="0" borderId="0" xfId="0" applyFont="1"/>
    <xf numFmtId="0" fontId="23" fillId="0" borderId="1" xfId="0" quotePrefix="1" applyFont="1" applyFill="1" applyBorder="1" applyAlignment="1">
      <alignment horizontal="center" vertical="center"/>
    </xf>
    <xf numFmtId="0" fontId="22" fillId="0" borderId="1" xfId="0" quotePrefix="1" applyFont="1" applyFill="1" applyBorder="1" applyAlignment="1">
      <alignment horizontal="center" vertical="center"/>
    </xf>
    <xf numFmtId="0" fontId="22" fillId="0" borderId="1" xfId="0" quotePrefix="1" applyFont="1" applyBorder="1" applyAlignment="1">
      <alignment horizontal="center" vertical="center"/>
    </xf>
    <xf numFmtId="11" fontId="23" fillId="0" borderId="6" xfId="0" applyNumberFormat="1" applyFont="1" applyFill="1" applyBorder="1" applyAlignment="1">
      <alignment horizontal="center"/>
    </xf>
    <xf numFmtId="11" fontId="23" fillId="0" borderId="1" xfId="0" applyNumberFormat="1" applyFont="1" applyFill="1" applyBorder="1" applyAlignment="1">
      <alignment horizontal="center"/>
    </xf>
    <xf numFmtId="0" fontId="22" fillId="0" borderId="1" xfId="0" quotePrefix="1" applyFont="1" applyFill="1" applyBorder="1" applyAlignment="1">
      <alignment horizontal="center" vertical="center" wrapText="1"/>
    </xf>
    <xf numFmtId="0" fontId="29" fillId="0" borderId="0" xfId="0" applyFont="1" applyFill="1" applyAlignment="1">
      <alignment horizontal="left"/>
    </xf>
    <xf numFmtId="170" fontId="33" fillId="0" borderId="0" xfId="0" applyNumberFormat="1" applyFont="1"/>
    <xf numFmtId="169" fontId="33" fillId="0" borderId="0" xfId="0" applyNumberFormat="1" applyFont="1"/>
    <xf numFmtId="0" fontId="52" fillId="0" borderId="15" xfId="13" applyAlignment="1">
      <alignment horizontal="center"/>
    </xf>
    <xf numFmtId="0" fontId="0" fillId="0" borderId="0" xfId="0" applyAlignment="1">
      <alignment horizontal="left" vertical="top" wrapText="1"/>
    </xf>
    <xf numFmtId="0" fontId="0" fillId="0" borderId="0" xfId="0" applyAlignment="1">
      <alignment horizontal="center" vertical="top" wrapText="1"/>
    </xf>
    <xf numFmtId="0" fontId="54" fillId="0" borderId="1" xfId="0" applyFont="1" applyBorder="1" applyAlignment="1">
      <alignment horizontal="center" vertical="top" wrapText="1"/>
    </xf>
    <xf numFmtId="0" fontId="54" fillId="0" borderId="1" xfId="0"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xf>
    <xf numFmtId="2" fontId="55" fillId="0" borderId="1" xfId="2" applyNumberFormat="1" applyFont="1" applyBorder="1" applyAlignment="1">
      <alignment horizontal="center" vertical="top" wrapText="1"/>
    </xf>
    <xf numFmtId="2" fontId="55" fillId="0" borderId="1" xfId="2" applyNumberFormat="1" applyFont="1" applyBorder="1" applyAlignment="1">
      <alignment horizontal="left" vertical="top" wrapText="1"/>
    </xf>
    <xf numFmtId="165" fontId="55" fillId="0" borderId="1" xfId="3" applyNumberFormat="1" applyFont="1" applyBorder="1" applyAlignment="1">
      <alignment horizontal="center" vertical="top" wrapText="1"/>
    </xf>
    <xf numFmtId="0" fontId="0" fillId="0" borderId="1" xfId="0" applyBorder="1" applyAlignment="1">
      <alignment horizontal="center" vertical="top" wrapText="1"/>
    </xf>
    <xf numFmtId="169" fontId="0" fillId="0" borderId="1" xfId="0" applyNumberFormat="1" applyBorder="1" applyAlignment="1">
      <alignment horizontal="center" vertical="top" wrapText="1"/>
    </xf>
    <xf numFmtId="165" fontId="0" fillId="13" borderId="1" xfId="3" applyNumberFormat="1" applyFont="1" applyFill="1" applyBorder="1" applyAlignment="1">
      <alignment horizontal="center" vertical="top" wrapText="1"/>
    </xf>
    <xf numFmtId="165" fontId="0" fillId="8" borderId="1" xfId="3" applyNumberFormat="1" applyFont="1" applyFill="1" applyBorder="1" applyAlignment="1">
      <alignment horizontal="center" vertical="top" wrapText="1"/>
    </xf>
    <xf numFmtId="165" fontId="55" fillId="0" borderId="1" xfId="2" applyNumberFormat="1" applyFont="1" applyBorder="1" applyAlignment="1">
      <alignment horizontal="center" vertical="top" wrapText="1"/>
    </xf>
    <xf numFmtId="165" fontId="0" fillId="0" borderId="1" xfId="0" applyNumberFormat="1" applyBorder="1" applyAlignment="1">
      <alignment horizontal="center" vertical="top" wrapText="1"/>
    </xf>
    <xf numFmtId="2" fontId="57" fillId="14" borderId="1" xfId="0" applyNumberFormat="1" applyFont="1" applyFill="1" applyBorder="1" applyAlignment="1">
      <alignment horizontal="left" vertical="top" wrapText="1"/>
    </xf>
    <xf numFmtId="0" fontId="55" fillId="0" borderId="1" xfId="0" applyFont="1" applyBorder="1" applyAlignment="1">
      <alignment horizontal="left" vertical="top" wrapText="1"/>
    </xf>
    <xf numFmtId="165" fontId="0" fillId="0" borderId="1" xfId="3" applyNumberFormat="1" applyFont="1" applyBorder="1" applyAlignment="1">
      <alignment horizontal="center" vertical="top" wrapText="1"/>
    </xf>
    <xf numFmtId="2" fontId="32" fillId="0" borderId="1" xfId="15" applyNumberFormat="1" applyFill="1" applyBorder="1" applyAlignment="1">
      <alignment horizontal="left" vertical="top" wrapText="1"/>
    </xf>
    <xf numFmtId="0" fontId="57" fillId="0" borderId="1" xfId="0" applyFont="1" applyBorder="1" applyAlignment="1">
      <alignment horizontal="left" vertical="top" wrapText="1"/>
    </xf>
    <xf numFmtId="2" fontId="0" fillId="0" borderId="1" xfId="2" applyNumberFormat="1" applyFont="1" applyBorder="1" applyAlignment="1">
      <alignment horizontal="center" vertical="top" wrapText="1"/>
    </xf>
    <xf numFmtId="2" fontId="0" fillId="0" borderId="1" xfId="2" applyNumberFormat="1" applyFont="1" applyBorder="1" applyAlignment="1">
      <alignment horizontal="left" vertical="top" wrapText="1"/>
    </xf>
    <xf numFmtId="165" fontId="0" fillId="0" borderId="1" xfId="2" applyNumberFormat="1" applyFont="1" applyBorder="1" applyAlignment="1">
      <alignment horizontal="center" vertical="top" wrapText="1"/>
    </xf>
    <xf numFmtId="2" fontId="0" fillId="0" borderId="1" xfId="0" applyNumberFormat="1" applyBorder="1" applyAlignment="1">
      <alignment horizontal="left" vertical="top" wrapText="1"/>
    </xf>
    <xf numFmtId="2" fontId="0" fillId="0" borderId="0" xfId="0" applyNumberFormat="1"/>
    <xf numFmtId="2" fontId="0" fillId="0" borderId="0" xfId="0" applyNumberFormat="1" applyBorder="1"/>
    <xf numFmtId="0" fontId="0" fillId="0" borderId="1" xfId="0" applyBorder="1" applyAlignment="1">
      <alignment wrapText="1"/>
    </xf>
    <xf numFmtId="0" fontId="55" fillId="0" borderId="1" xfId="16" applyFont="1" applyFill="1" applyBorder="1" applyAlignment="1">
      <alignment horizontal="left" vertical="top" wrapText="1"/>
    </xf>
    <xf numFmtId="165" fontId="0" fillId="0" borderId="0" xfId="0" applyNumberFormat="1"/>
    <xf numFmtId="0" fontId="36" fillId="8" borderId="0" xfId="0" applyFont="1" applyFill="1"/>
    <xf numFmtId="0" fontId="33" fillId="8" borderId="0" xfId="0" applyFont="1" applyFill="1"/>
    <xf numFmtId="2" fontId="21" fillId="0" borderId="0" xfId="3" applyNumberFormat="1" applyFont="1" applyAlignment="1">
      <alignment horizontal="left" vertical="center"/>
    </xf>
    <xf numFmtId="0" fontId="20" fillId="0" borderId="0" xfId="0" applyFont="1"/>
    <xf numFmtId="0" fontId="21" fillId="0" borderId="0" xfId="0" applyFont="1" applyAlignment="1">
      <alignment horizontal="left"/>
    </xf>
    <xf numFmtId="2" fontId="29" fillId="0" borderId="0" xfId="2" applyNumberFormat="1" applyFont="1" applyFill="1" applyAlignment="1">
      <alignment horizontal="center" vertical="center"/>
    </xf>
    <xf numFmtId="0" fontId="0" fillId="0" borderId="1" xfId="0" applyFont="1" applyBorder="1" applyAlignment="1">
      <alignment horizontal="left" vertical="top" wrapText="1"/>
    </xf>
    <xf numFmtId="1" fontId="0" fillId="0" borderId="1" xfId="15" applyNumberFormat="1" applyFont="1" applyFill="1" applyBorder="1" applyAlignment="1">
      <alignment horizontal="center" vertical="top" wrapText="1"/>
    </xf>
    <xf numFmtId="2" fontId="21" fillId="0" borderId="1" xfId="2" applyNumberFormat="1" applyFont="1" applyBorder="1" applyAlignment="1">
      <alignment horizontal="left" vertical="center" wrapText="1"/>
    </xf>
    <xf numFmtId="0" fontId="0" fillId="0" borderId="0" xfId="0" applyBorder="1" applyAlignment="1">
      <alignment wrapText="1"/>
    </xf>
    <xf numFmtId="166" fontId="55" fillId="0" borderId="1" xfId="2" applyNumberFormat="1" applyFont="1" applyBorder="1" applyAlignment="1">
      <alignment horizontal="center" vertical="top" wrapText="1"/>
    </xf>
    <xf numFmtId="1" fontId="55" fillId="0" borderId="1" xfId="2" applyNumberFormat="1" applyFont="1" applyBorder="1" applyAlignment="1">
      <alignment horizontal="center" vertical="top" wrapText="1"/>
    </xf>
    <xf numFmtId="170" fontId="0" fillId="0" borderId="1" xfId="0" applyNumberFormat="1" applyBorder="1" applyAlignment="1">
      <alignment horizontal="center" vertical="top" wrapText="1"/>
    </xf>
    <xf numFmtId="169" fontId="0" fillId="0" borderId="1" xfId="3" applyNumberFormat="1" applyFont="1" applyBorder="1" applyAlignment="1">
      <alignment horizontal="center" vertical="top" wrapText="1"/>
    </xf>
    <xf numFmtId="2" fontId="0" fillId="0" borderId="1" xfId="0" applyNumberFormat="1" applyBorder="1" applyAlignment="1">
      <alignment horizontal="center" vertical="top" wrapText="1"/>
    </xf>
    <xf numFmtId="0" fontId="67" fillId="0" borderId="1" xfId="0" applyFont="1" applyBorder="1" applyAlignment="1">
      <alignment wrapText="1"/>
    </xf>
    <xf numFmtId="166" fontId="0" fillId="0" borderId="1" xfId="0" applyNumberFormat="1" applyBorder="1" applyAlignment="1">
      <alignment horizontal="center" vertical="top" wrapText="1"/>
    </xf>
    <xf numFmtId="168" fontId="19" fillId="0" borderId="8" xfId="0" applyNumberFormat="1" applyFont="1" applyFill="1" applyBorder="1" applyAlignment="1">
      <alignment horizontal="center"/>
    </xf>
    <xf numFmtId="0" fontId="18" fillId="0" borderId="0" xfId="2" quotePrefix="1" applyNumberFormat="1" applyFont="1" applyFill="1" applyAlignment="1">
      <alignment horizontal="left" vertical="center"/>
    </xf>
    <xf numFmtId="168" fontId="18" fillId="0" borderId="1" xfId="0" applyNumberFormat="1" applyFont="1" applyFill="1" applyBorder="1" applyAlignment="1">
      <alignment horizontal="center"/>
    </xf>
    <xf numFmtId="0" fontId="17" fillId="4" borderId="17" xfId="0" applyFont="1" applyFill="1" applyBorder="1" applyAlignment="1">
      <alignment horizontal="center"/>
    </xf>
    <xf numFmtId="0" fontId="16" fillId="0" borderId="1" xfId="0" applyFont="1" applyBorder="1"/>
    <xf numFmtId="0" fontId="15" fillId="0" borderId="0" xfId="0" applyFont="1"/>
    <xf numFmtId="0" fontId="36" fillId="0" borderId="1" xfId="0" applyFont="1" applyBorder="1" applyAlignment="1">
      <alignment vertical="top" wrapText="1"/>
    </xf>
    <xf numFmtId="2" fontId="55" fillId="0" borderId="1" xfId="2" applyNumberFormat="1" applyFont="1" applyFill="1" applyBorder="1" applyAlignment="1">
      <alignment horizontal="center" vertical="top" wrapText="1"/>
    </xf>
    <xf numFmtId="0" fontId="0" fillId="0" borderId="1" xfId="0" applyFill="1" applyBorder="1" applyAlignment="1">
      <alignment horizontal="left" vertical="top" wrapText="1"/>
    </xf>
    <xf numFmtId="0" fontId="29" fillId="15" borderId="1" xfId="6" applyNumberFormat="1" applyFont="1" applyFill="1" applyBorder="1" applyAlignment="1">
      <alignment horizontal="left" vertical="center" wrapText="1"/>
    </xf>
    <xf numFmtId="0" fontId="35" fillId="9" borderId="5" xfId="4" applyNumberFormat="1" applyFont="1" applyFill="1" applyBorder="1" applyAlignment="1">
      <alignment horizontal="center" vertical="center" wrapText="1"/>
    </xf>
    <xf numFmtId="0" fontId="13" fillId="7" borderId="1" xfId="0" applyFont="1" applyFill="1" applyBorder="1" applyAlignment="1">
      <alignment vertical="center" wrapText="1"/>
    </xf>
    <xf numFmtId="0" fontId="13" fillId="0" borderId="1" xfId="0" applyFont="1" applyBorder="1" applyAlignment="1">
      <alignment vertical="center" wrapText="1"/>
    </xf>
    <xf numFmtId="2" fontId="29" fillId="5" borderId="1" xfId="2" applyNumberFormat="1" applyFont="1" applyFill="1" applyBorder="1" applyAlignment="1">
      <alignment horizontal="center" vertical="center" wrapText="1"/>
    </xf>
    <xf numFmtId="2" fontId="23" fillId="5" borderId="1" xfId="2" applyNumberFormat="1" applyFont="1" applyFill="1" applyBorder="1" applyAlignment="1">
      <alignment horizontal="center" vertical="center" wrapText="1"/>
    </xf>
    <xf numFmtId="2" fontId="36" fillId="4" borderId="1" xfId="2" applyNumberFormat="1" applyFont="1" applyFill="1" applyBorder="1" applyAlignment="1">
      <alignment horizontal="center" vertical="center" wrapText="1"/>
    </xf>
    <xf numFmtId="2" fontId="50" fillId="0" borderId="1" xfId="2" quotePrefix="1" applyNumberFormat="1" applyFont="1" applyFill="1" applyBorder="1" applyAlignment="1">
      <alignment horizontal="center" vertical="center" wrapText="1"/>
    </xf>
    <xf numFmtId="2" fontId="38" fillId="0" borderId="1" xfId="2" applyNumberFormat="1" applyFont="1" applyBorder="1" applyAlignment="1">
      <alignment horizontal="center" vertical="center"/>
    </xf>
    <xf numFmtId="2" fontId="38" fillId="0" borderId="1" xfId="2" applyNumberFormat="1" applyFont="1" applyFill="1" applyBorder="1" applyAlignment="1">
      <alignment horizontal="center" vertical="center"/>
    </xf>
    <xf numFmtId="2" fontId="29" fillId="0" borderId="1" xfId="2" applyNumberFormat="1" applyFont="1" applyFill="1" applyBorder="1" applyAlignment="1">
      <alignment horizontal="center" vertical="center" wrapText="1"/>
    </xf>
    <xf numFmtId="0" fontId="44" fillId="6" borderId="1" xfId="0" applyFont="1" applyFill="1" applyBorder="1" applyAlignment="1">
      <alignment horizontal="left" vertical="center"/>
    </xf>
    <xf numFmtId="0" fontId="36" fillId="6" borderId="1" xfId="0" applyFont="1" applyFill="1" applyBorder="1" applyAlignment="1">
      <alignment horizontal="center" vertical="center"/>
    </xf>
    <xf numFmtId="2" fontId="33" fillId="0" borderId="1" xfId="0" quotePrefix="1" applyNumberFormat="1" applyFont="1" applyFill="1" applyBorder="1" applyAlignment="1">
      <alignment horizontal="center"/>
    </xf>
    <xf numFmtId="169" fontId="22" fillId="0" borderId="1" xfId="0" quotePrefix="1" applyNumberFormat="1" applyFont="1" applyFill="1" applyBorder="1" applyAlignment="1">
      <alignment horizontal="center"/>
    </xf>
    <xf numFmtId="166" fontId="33" fillId="0" borderId="1" xfId="0" quotePrefix="1" applyNumberFormat="1" applyFont="1" applyFill="1" applyBorder="1" applyAlignment="1">
      <alignment horizontal="center"/>
    </xf>
    <xf numFmtId="169" fontId="33" fillId="0" borderId="1" xfId="0" quotePrefix="1" applyNumberFormat="1" applyFont="1" applyFill="1" applyBorder="1" applyAlignment="1">
      <alignment horizontal="center"/>
    </xf>
    <xf numFmtId="165" fontId="33" fillId="0" borderId="1" xfId="0" quotePrefix="1" applyNumberFormat="1" applyFont="1" applyFill="1" applyBorder="1" applyAlignment="1">
      <alignment horizontal="center"/>
    </xf>
    <xf numFmtId="165" fontId="33" fillId="0" borderId="1" xfId="0" applyNumberFormat="1" applyFont="1" applyFill="1" applyBorder="1" applyAlignment="1">
      <alignment horizontal="center" vertical="center"/>
    </xf>
    <xf numFmtId="169" fontId="33" fillId="0" borderId="1" xfId="0" applyNumberFormat="1" applyFont="1" applyFill="1" applyBorder="1" applyAlignment="1">
      <alignment horizontal="center" vertical="center"/>
    </xf>
    <xf numFmtId="166" fontId="22" fillId="0" borderId="1" xfId="0" quotePrefix="1" applyNumberFormat="1" applyFont="1" applyFill="1" applyBorder="1" applyAlignment="1">
      <alignment horizontal="center"/>
    </xf>
    <xf numFmtId="0" fontId="44" fillId="6" borderId="1" xfId="0" applyFont="1" applyFill="1" applyBorder="1" applyAlignment="1">
      <alignment vertical="center"/>
    </xf>
    <xf numFmtId="0" fontId="33" fillId="6" borderId="1" xfId="0" quotePrefix="1" applyFont="1" applyFill="1" applyBorder="1" applyAlignment="1">
      <alignment horizontal="center"/>
    </xf>
    <xf numFmtId="0" fontId="22" fillId="0" borderId="1" xfId="0" quotePrefix="1" applyFont="1" applyBorder="1" applyAlignment="1">
      <alignment horizontal="center"/>
    </xf>
    <xf numFmtId="170" fontId="33" fillId="0" borderId="1" xfId="0" quotePrefix="1" applyNumberFormat="1" applyFont="1" applyFill="1" applyBorder="1" applyAlignment="1">
      <alignment horizontal="center"/>
    </xf>
    <xf numFmtId="165" fontId="22" fillId="0" borderId="1" xfId="0" quotePrefix="1" applyNumberFormat="1" applyFont="1" applyFill="1" applyBorder="1" applyAlignment="1">
      <alignment horizontal="center"/>
    </xf>
    <xf numFmtId="0" fontId="14" fillId="0" borderId="1" xfId="0" quotePrefix="1" applyFont="1" applyFill="1" applyBorder="1" applyAlignment="1">
      <alignment horizontal="center" vertical="center"/>
    </xf>
    <xf numFmtId="168" fontId="33" fillId="0" borderId="2" xfId="0" applyNumberFormat="1" applyFont="1" applyBorder="1" applyAlignment="1">
      <alignment horizontal="center"/>
    </xf>
    <xf numFmtId="49" fontId="33" fillId="5" borderId="2" xfId="0" applyNumberFormat="1" applyFont="1" applyFill="1" applyBorder="1"/>
    <xf numFmtId="49" fontId="23" fillId="5" borderId="2" xfId="4" applyNumberFormat="1" applyFont="1" applyFill="1" applyBorder="1" applyAlignment="1">
      <alignment horizontal="center" vertical="center"/>
    </xf>
    <xf numFmtId="168" fontId="29" fillId="5" borderId="2" xfId="0" applyNumberFormat="1" applyFont="1" applyFill="1" applyBorder="1" applyAlignment="1">
      <alignment horizontal="center"/>
    </xf>
    <xf numFmtId="0" fontId="29" fillId="5" borderId="2" xfId="0" applyFont="1" applyFill="1" applyBorder="1" applyAlignment="1">
      <alignment horizontal="center"/>
    </xf>
    <xf numFmtId="3" fontId="12" fillId="0" borderId="1" xfId="0" applyNumberFormat="1" applyFont="1" applyBorder="1" applyAlignment="1">
      <alignment horizontal="center"/>
    </xf>
    <xf numFmtId="171" fontId="33" fillId="0" borderId="0" xfId="17" applyNumberFormat="1" applyFont="1"/>
    <xf numFmtId="0" fontId="11" fillId="4" borderId="1" xfId="0" applyFont="1" applyFill="1" applyBorder="1" applyAlignment="1">
      <alignment horizontal="center" vertical="center"/>
    </xf>
    <xf numFmtId="0" fontId="10" fillId="4" borderId="1" xfId="0" quotePrefix="1" applyFont="1" applyFill="1" applyBorder="1" applyAlignment="1">
      <alignment horizontal="center" vertical="center"/>
    </xf>
    <xf numFmtId="0" fontId="0" fillId="0" borderId="10" xfId="0" applyBorder="1"/>
    <xf numFmtId="0" fontId="69" fillId="0" borderId="0" xfId="2" applyNumberFormat="1" applyFont="1" applyAlignment="1">
      <alignment horizontal="right" vertical="center"/>
    </xf>
    <xf numFmtId="0" fontId="29" fillId="0" borderId="0" xfId="2" applyNumberFormat="1" applyFont="1" applyAlignment="1">
      <alignment horizontal="right" vertical="center"/>
    </xf>
    <xf numFmtId="2" fontId="29" fillId="0" borderId="0" xfId="2" applyNumberFormat="1" applyFont="1" applyAlignment="1">
      <alignment horizontal="right" vertical="center"/>
    </xf>
    <xf numFmtId="2" fontId="23" fillId="0" borderId="0" xfId="2" applyNumberFormat="1" applyFont="1" applyAlignment="1">
      <alignment horizontal="right" vertical="center"/>
    </xf>
    <xf numFmtId="0" fontId="9" fillId="0" borderId="1" xfId="0" applyFont="1" applyBorder="1" applyAlignment="1">
      <alignment vertical="center"/>
    </xf>
    <xf numFmtId="3" fontId="33" fillId="4" borderId="1" xfId="0" applyNumberFormat="1" applyFont="1" applyFill="1" applyBorder="1" applyAlignment="1">
      <alignment horizontal="center"/>
    </xf>
    <xf numFmtId="3" fontId="33" fillId="5" borderId="7" xfId="0" applyNumberFormat="1" applyFont="1" applyFill="1" applyBorder="1" applyAlignment="1">
      <alignment horizontal="center"/>
    </xf>
    <xf numFmtId="3" fontId="33" fillId="5" borderId="7" xfId="0" applyNumberFormat="1" applyFont="1" applyFill="1" applyBorder="1" applyAlignment="1">
      <alignment horizontal="center" vertical="center"/>
    </xf>
    <xf numFmtId="3" fontId="33" fillId="4" borderId="4" xfId="0" applyNumberFormat="1" applyFont="1" applyFill="1" applyBorder="1" applyAlignment="1">
      <alignment horizontal="center"/>
    </xf>
    <xf numFmtId="3" fontId="33" fillId="4" borderId="5" xfId="0" applyNumberFormat="1" applyFont="1" applyFill="1" applyBorder="1" applyAlignment="1">
      <alignment horizontal="center"/>
    </xf>
    <xf numFmtId="3" fontId="33" fillId="4" borderId="6" xfId="0" applyNumberFormat="1" applyFont="1" applyFill="1" applyBorder="1" applyAlignment="1">
      <alignment horizontal="center"/>
    </xf>
    <xf numFmtId="3" fontId="33" fillId="4" borderId="1" xfId="0" applyNumberFormat="1" applyFont="1" applyFill="1" applyBorder="1" applyAlignment="1">
      <alignment horizontal="center" vertical="center"/>
    </xf>
    <xf numFmtId="3" fontId="33" fillId="0" borderId="3" xfId="0" applyNumberFormat="1" applyFont="1" applyBorder="1" applyAlignment="1">
      <alignment horizontal="center"/>
    </xf>
    <xf numFmtId="3" fontId="41" fillId="5" borderId="7" xfId="4" applyNumberFormat="1" applyFont="1" applyFill="1" applyBorder="1" applyAlignment="1">
      <alignment vertical="center"/>
    </xf>
    <xf numFmtId="3" fontId="29" fillId="0" borderId="1" xfId="5" applyNumberFormat="1" applyFont="1" applyFill="1" applyBorder="1" applyAlignment="1">
      <alignment horizontal="center" vertical="center"/>
    </xf>
    <xf numFmtId="3" fontId="41" fillId="5" borderId="1" xfId="4" applyNumberFormat="1" applyFont="1" applyFill="1" applyBorder="1" applyAlignment="1">
      <alignment vertical="center"/>
    </xf>
    <xf numFmtId="3" fontId="33" fillId="0" borderId="1" xfId="0" applyNumberFormat="1" applyFont="1" applyBorder="1" applyAlignment="1">
      <alignment horizontal="center"/>
    </xf>
    <xf numFmtId="3" fontId="33" fillId="0" borderId="1" xfId="0" quotePrefix="1" applyNumberFormat="1" applyFont="1" applyBorder="1" applyAlignment="1">
      <alignment horizontal="center"/>
    </xf>
    <xf numFmtId="3" fontId="33" fillId="5" borderId="7" xfId="0" quotePrefix="1" applyNumberFormat="1" applyFont="1" applyFill="1" applyBorder="1" applyAlignment="1">
      <alignment horizontal="center"/>
    </xf>
    <xf numFmtId="3" fontId="33" fillId="0" borderId="6" xfId="0" applyNumberFormat="1" applyFont="1" applyBorder="1" applyAlignment="1">
      <alignment horizontal="center"/>
    </xf>
    <xf numFmtId="3" fontId="23" fillId="0" borderId="6" xfId="0" quotePrefix="1" applyNumberFormat="1" applyFont="1" applyFill="1" applyBorder="1" applyAlignment="1">
      <alignment horizontal="center"/>
    </xf>
    <xf numFmtId="3" fontId="29" fillId="0" borderId="6" xfId="0" quotePrefix="1" applyNumberFormat="1" applyFont="1" applyFill="1" applyBorder="1" applyAlignment="1">
      <alignment horizontal="center"/>
    </xf>
    <xf numFmtId="3" fontId="23" fillId="0" borderId="6" xfId="0" applyNumberFormat="1" applyFont="1" applyFill="1" applyBorder="1" applyAlignment="1">
      <alignment horizontal="center"/>
    </xf>
    <xf numFmtId="3" fontId="29" fillId="5" borderId="7" xfId="0" quotePrefix="1" applyNumberFormat="1" applyFont="1" applyFill="1" applyBorder="1" applyAlignment="1">
      <alignment horizontal="center"/>
    </xf>
    <xf numFmtId="3" fontId="29" fillId="0" borderId="1" xfId="0" quotePrefix="1" applyNumberFormat="1" applyFont="1" applyFill="1" applyBorder="1" applyAlignment="1">
      <alignment horizontal="center"/>
    </xf>
    <xf numFmtId="3" fontId="22" fillId="0" borderId="1" xfId="0" applyNumberFormat="1" applyFont="1" applyBorder="1" applyAlignment="1">
      <alignment horizontal="center" vertical="center"/>
    </xf>
    <xf numFmtId="0" fontId="7" fillId="0" borderId="1" xfId="0" applyFont="1" applyBorder="1" applyAlignment="1">
      <alignment horizontal="center" vertical="center"/>
    </xf>
    <xf numFmtId="0" fontId="29" fillId="16" borderId="1" xfId="6" applyNumberFormat="1" applyFont="1" applyFill="1" applyBorder="1" applyAlignment="1">
      <alignment horizontal="left" vertical="center"/>
    </xf>
    <xf numFmtId="0" fontId="6" fillId="0" borderId="0" xfId="0" quotePrefix="1" applyFont="1"/>
    <xf numFmtId="0" fontId="11" fillId="4" borderId="1" xfId="0" applyFont="1" applyFill="1" applyBorder="1" applyAlignment="1">
      <alignment horizontal="center" vertical="center" wrapText="1"/>
    </xf>
    <xf numFmtId="0" fontId="33" fillId="4" borderId="1" xfId="0" quotePrefix="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33" fillId="5" borderId="2" xfId="0" quotePrefix="1" applyFont="1" applyFill="1" applyBorder="1" applyAlignment="1">
      <alignment horizontal="center" vertical="center" wrapText="1"/>
    </xf>
    <xf numFmtId="0" fontId="33" fillId="4"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5" fillId="0" borderId="1" xfId="0" quotePrefix="1" applyFont="1" applyBorder="1" applyAlignment="1">
      <alignment horizontal="center" vertical="center" wrapText="1"/>
    </xf>
    <xf numFmtId="0" fontId="3" fillId="0" borderId="1" xfId="0" applyFont="1" applyBorder="1" applyAlignment="1">
      <alignment vertical="center"/>
    </xf>
    <xf numFmtId="0" fontId="28" fillId="0" borderId="1" xfId="0" applyFont="1" applyBorder="1" applyAlignment="1">
      <alignment vertical="top" wrapText="1"/>
    </xf>
    <xf numFmtId="0" fontId="36" fillId="0" borderId="3" xfId="0" applyFont="1" applyBorder="1" applyAlignment="1">
      <alignment vertical="top" wrapText="1"/>
    </xf>
    <xf numFmtId="0" fontId="36" fillId="0" borderId="7" xfId="0" applyFont="1" applyBorder="1" applyAlignment="1">
      <alignment vertical="top" wrapText="1"/>
    </xf>
    <xf numFmtId="0" fontId="36" fillId="0" borderId="2" xfId="0" applyFont="1" applyBorder="1" applyAlignment="1">
      <alignment vertical="top" wrapText="1"/>
    </xf>
    <xf numFmtId="0" fontId="26" fillId="0" borderId="1" xfId="0" applyFont="1" applyBorder="1" applyAlignment="1">
      <alignment vertical="top" wrapText="1"/>
    </xf>
    <xf numFmtId="0" fontId="22" fillId="0" borderId="1" xfId="0" applyFont="1" applyBorder="1" applyAlignment="1">
      <alignment vertical="top" wrapText="1"/>
    </xf>
    <xf numFmtId="0" fontId="20" fillId="0" borderId="1" xfId="0" applyFont="1" applyBorder="1" applyAlignment="1">
      <alignment vertical="top" wrapText="1"/>
    </xf>
    <xf numFmtId="0" fontId="36" fillId="0" borderId="1" xfId="0" applyFont="1" applyBorder="1" applyAlignment="1">
      <alignment vertical="top" wrapText="1"/>
    </xf>
    <xf numFmtId="0" fontId="71" fillId="0" borderId="1" xfId="16" applyFont="1" applyBorder="1" applyAlignment="1">
      <alignment vertical="top" wrapText="1"/>
    </xf>
    <xf numFmtId="0" fontId="34" fillId="0" borderId="3" xfId="0" applyFont="1" applyBorder="1" applyAlignment="1">
      <alignment vertical="top" wrapText="1"/>
    </xf>
    <xf numFmtId="0" fontId="34" fillId="0" borderId="7" xfId="0" applyFont="1" applyBorder="1" applyAlignment="1">
      <alignment vertical="top" wrapText="1"/>
    </xf>
    <xf numFmtId="0" fontId="34" fillId="0" borderId="2" xfId="0" applyFont="1" applyBorder="1" applyAlignment="1">
      <alignment vertical="top" wrapText="1"/>
    </xf>
    <xf numFmtId="0" fontId="65" fillId="0" borderId="3" xfId="16" applyFont="1" applyBorder="1" applyAlignment="1">
      <alignment vertical="top"/>
    </xf>
    <xf numFmtId="0" fontId="34" fillId="0" borderId="7" xfId="0" applyFont="1" applyBorder="1" applyAlignment="1">
      <alignment vertical="top"/>
    </xf>
    <xf numFmtId="0" fontId="34" fillId="0" borderId="2" xfId="0" applyFont="1" applyBorder="1" applyAlignment="1">
      <alignment vertical="top"/>
    </xf>
    <xf numFmtId="0" fontId="36" fillId="2" borderId="1" xfId="0" applyFont="1" applyFill="1" applyBorder="1" applyAlignment="1">
      <alignment horizontal="center" vertical="center" wrapText="1"/>
    </xf>
    <xf numFmtId="0" fontId="1" fillId="0" borderId="1" xfId="0" applyFont="1" applyBorder="1" applyAlignment="1">
      <alignment vertical="top" wrapText="1"/>
    </xf>
    <xf numFmtId="164" fontId="28" fillId="0" borderId="4" xfId="0" quotePrefix="1" applyNumberFormat="1" applyFont="1" applyBorder="1" applyAlignment="1">
      <alignment horizontal="left" vertical="top"/>
    </xf>
    <xf numFmtId="0" fontId="64" fillId="0" borderId="1" xfId="0" applyFont="1" applyBorder="1" applyAlignment="1">
      <alignment vertical="top" wrapText="1"/>
    </xf>
    <xf numFmtId="164" fontId="4" fillId="0" borderId="3" xfId="0" quotePrefix="1" applyNumberFormat="1" applyFont="1" applyBorder="1" applyAlignment="1">
      <alignment horizontal="left" vertical="top" wrapText="1"/>
    </xf>
    <xf numFmtId="164" fontId="8" fillId="0" borderId="7" xfId="0" quotePrefix="1" applyNumberFormat="1" applyFont="1" applyBorder="1" applyAlignment="1">
      <alignment horizontal="left" vertical="top" wrapText="1"/>
    </xf>
    <xf numFmtId="164" fontId="8" fillId="0" borderId="2" xfId="0" quotePrefix="1" applyNumberFormat="1" applyFont="1" applyBorder="1" applyAlignment="1">
      <alignment horizontal="left" vertical="top" wrapText="1"/>
    </xf>
    <xf numFmtId="2" fontId="36" fillId="5" borderId="1" xfId="2" applyNumberFormat="1" applyFont="1" applyFill="1" applyBorder="1" applyAlignment="1">
      <alignment horizontal="center" vertical="center" wrapText="1"/>
    </xf>
    <xf numFmtId="2" fontId="23" fillId="0" borderId="0" xfId="3" applyNumberFormat="1" applyFont="1" applyAlignment="1">
      <alignment horizontal="left" vertical="center" wrapText="1"/>
    </xf>
    <xf numFmtId="2" fontId="36" fillId="5" borderId="1" xfId="2" applyNumberFormat="1" applyFont="1" applyFill="1" applyBorder="1" applyAlignment="1">
      <alignment horizontal="center" vertical="center"/>
    </xf>
    <xf numFmtId="0" fontId="20" fillId="0" borderId="0" xfId="0" applyFont="1" applyFill="1" applyAlignment="1">
      <alignment horizontal="left" wrapText="1"/>
    </xf>
    <xf numFmtId="0" fontId="22" fillId="0" borderId="0" xfId="0" applyFont="1" applyFill="1" applyAlignment="1">
      <alignment horizontal="left" wrapText="1"/>
    </xf>
    <xf numFmtId="0" fontId="42" fillId="0" borderId="12" xfId="0" applyFont="1" applyBorder="1" applyAlignment="1">
      <alignment horizontal="left" wrapText="1"/>
    </xf>
    <xf numFmtId="0" fontId="36" fillId="9" borderId="1" xfId="0" applyFont="1" applyFill="1" applyBorder="1" applyAlignment="1">
      <alignment horizontal="center" vertical="center"/>
    </xf>
    <xf numFmtId="0" fontId="36" fillId="9" borderId="1" xfId="0" applyFont="1" applyFill="1" applyBorder="1" applyAlignment="1">
      <alignment horizontal="center"/>
    </xf>
    <xf numFmtId="0" fontId="35" fillId="9" borderId="1" xfId="0" applyFont="1" applyFill="1" applyBorder="1" applyAlignment="1">
      <alignment horizontal="center" vertical="center" wrapText="1"/>
    </xf>
    <xf numFmtId="49" fontId="35" fillId="9" borderId="1" xfId="4" applyNumberFormat="1" applyFont="1" applyFill="1" applyBorder="1" applyAlignment="1">
      <alignment horizontal="center" vertical="center" wrapText="1"/>
    </xf>
    <xf numFmtId="0" fontId="36" fillId="9" borderId="1" xfId="0" applyFont="1" applyFill="1" applyBorder="1" applyAlignment="1">
      <alignment horizontal="center" vertical="center" wrapText="1"/>
    </xf>
    <xf numFmtId="0" fontId="36" fillId="9" borderId="3" xfId="0" applyFont="1" applyFill="1" applyBorder="1" applyAlignment="1">
      <alignment horizontal="center" vertical="center" wrapText="1"/>
    </xf>
    <xf numFmtId="0" fontId="36" fillId="9" borderId="7" xfId="0" applyFont="1" applyFill="1" applyBorder="1" applyAlignment="1">
      <alignment horizontal="center" vertical="center" wrapText="1"/>
    </xf>
    <xf numFmtId="0" fontId="36" fillId="9" borderId="2" xfId="0" applyFont="1" applyFill="1" applyBorder="1" applyAlignment="1">
      <alignment horizontal="center" vertical="center" wrapText="1"/>
    </xf>
    <xf numFmtId="49" fontId="35" fillId="9" borderId="3" xfId="4" applyNumberFormat="1" applyFont="1" applyFill="1" applyBorder="1" applyAlignment="1">
      <alignment horizontal="center" vertical="center" wrapText="1"/>
    </xf>
    <xf numFmtId="49" fontId="35" fillId="9" borderId="4" xfId="4" applyNumberFormat="1" applyFont="1" applyFill="1" applyBorder="1" applyAlignment="1">
      <alignment horizontal="center" vertical="center" wrapText="1"/>
    </xf>
    <xf numFmtId="49" fontId="35" fillId="9" borderId="6" xfId="4" applyNumberFormat="1" applyFont="1" applyFill="1" applyBorder="1" applyAlignment="1">
      <alignment horizontal="center" vertical="center" wrapText="1"/>
    </xf>
    <xf numFmtId="0" fontId="35" fillId="9" borderId="3" xfId="4" applyNumberFormat="1" applyFont="1" applyFill="1" applyBorder="1" applyAlignment="1">
      <alignment horizontal="center" vertical="center" wrapText="1"/>
    </xf>
    <xf numFmtId="0" fontId="35" fillId="9" borderId="7" xfId="4" applyNumberFormat="1" applyFont="1" applyFill="1" applyBorder="1" applyAlignment="1">
      <alignment horizontal="center" vertical="center" wrapText="1"/>
    </xf>
    <xf numFmtId="0" fontId="35" fillId="9" borderId="2" xfId="4" applyNumberFormat="1" applyFont="1" applyFill="1" applyBorder="1" applyAlignment="1">
      <alignment horizontal="center" vertical="center" wrapText="1"/>
    </xf>
    <xf numFmtId="0" fontId="35" fillId="9" borderId="4" xfId="4" applyNumberFormat="1" applyFont="1" applyFill="1" applyBorder="1" applyAlignment="1">
      <alignment horizontal="center" vertical="center" wrapText="1"/>
    </xf>
    <xf numFmtId="0" fontId="35" fillId="9" borderId="5" xfId="4" applyNumberFormat="1" applyFont="1" applyFill="1" applyBorder="1" applyAlignment="1">
      <alignment horizontal="center" vertical="center" wrapText="1"/>
    </xf>
    <xf numFmtId="167" fontId="35" fillId="9" borderId="1" xfId="2" applyNumberFormat="1" applyFont="1" applyFill="1" applyBorder="1" applyAlignment="1">
      <alignment horizontal="center" vertical="center" wrapText="1"/>
    </xf>
    <xf numFmtId="0" fontId="23" fillId="0" borderId="0" xfId="2" quotePrefix="1" applyNumberFormat="1" applyFont="1" applyFill="1" applyAlignment="1">
      <alignment horizontal="left" vertical="center" wrapText="1"/>
    </xf>
    <xf numFmtId="167" fontId="35" fillId="9" borderId="4" xfId="2" applyNumberFormat="1" applyFont="1" applyFill="1" applyBorder="1" applyAlignment="1">
      <alignment horizontal="center" vertical="center" wrapText="1"/>
    </xf>
    <xf numFmtId="167" fontId="35" fillId="9" borderId="6" xfId="2" applyNumberFormat="1" applyFont="1" applyFill="1" applyBorder="1" applyAlignment="1">
      <alignment horizontal="center" vertical="center" wrapText="1"/>
    </xf>
    <xf numFmtId="167" fontId="35" fillId="9" borderId="1" xfId="2" applyNumberFormat="1" applyFont="1" applyFill="1" applyBorder="1" applyAlignment="1">
      <alignment horizontal="center" vertical="center"/>
    </xf>
    <xf numFmtId="2" fontId="29" fillId="0" borderId="0" xfId="2" applyNumberFormat="1" applyFont="1" applyFill="1" applyAlignment="1">
      <alignment horizontal="center" vertical="center"/>
    </xf>
    <xf numFmtId="167" fontId="35" fillId="9" borderId="9" xfId="6" applyNumberFormat="1" applyFont="1" applyFill="1" applyBorder="1" applyAlignment="1">
      <alignment horizontal="center" vertical="center" wrapText="1"/>
    </xf>
    <xf numFmtId="167" fontId="35" fillId="9" borderId="10" xfId="6" applyNumberFormat="1" applyFont="1" applyFill="1" applyBorder="1" applyAlignment="1">
      <alignment horizontal="center" vertical="center" wrapText="1"/>
    </xf>
    <xf numFmtId="167" fontId="35" fillId="9" borderId="11" xfId="6" applyNumberFormat="1" applyFont="1" applyFill="1" applyBorder="1" applyAlignment="1">
      <alignment horizontal="center" vertical="center" wrapText="1"/>
    </xf>
    <xf numFmtId="0" fontId="36" fillId="9" borderId="1" xfId="0" applyFont="1" applyFill="1" applyBorder="1" applyAlignment="1">
      <alignment horizontal="center" wrapText="1"/>
    </xf>
    <xf numFmtId="167" fontId="35" fillId="9" borderId="2" xfId="2" applyNumberFormat="1" applyFont="1" applyFill="1" applyBorder="1" applyAlignment="1">
      <alignment horizontal="center" vertical="center"/>
    </xf>
    <xf numFmtId="167" fontId="35" fillId="9" borderId="1" xfId="6" applyNumberFormat="1" applyFont="1" applyFill="1" applyBorder="1" applyAlignment="1">
      <alignment horizontal="center" vertical="center" wrapText="1"/>
    </xf>
    <xf numFmtId="0" fontId="0" fillId="0" borderId="0" xfId="0" applyFont="1" applyBorder="1" applyAlignment="1">
      <alignment horizontal="center" vertical="top" wrapText="1"/>
    </xf>
    <xf numFmtId="0" fontId="54" fillId="0" borderId="0" xfId="0" applyFont="1" applyAlignment="1">
      <alignment vertical="top" wrapText="1"/>
    </xf>
    <xf numFmtId="0" fontId="52" fillId="0" borderId="15" xfId="13" applyAlignment="1">
      <alignment horizontal="center"/>
    </xf>
    <xf numFmtId="0" fontId="0" fillId="0" borderId="0" xfId="0" applyAlignment="1">
      <alignment horizontal="center"/>
    </xf>
    <xf numFmtId="0" fontId="51" fillId="0" borderId="14" xfId="12" applyAlignment="1">
      <alignment horizontal="center"/>
    </xf>
  </cellXfs>
  <cellStyles count="18">
    <cellStyle name="20% - Accent2" xfId="15" builtinId="34"/>
    <cellStyle name="Comma" xfId="17" builtinId="3"/>
    <cellStyle name="Heading 1" xfId="12" builtinId="16"/>
    <cellStyle name="Heading 2" xfId="13" builtinId="17"/>
    <cellStyle name="Heading 3" xfId="14" builtinId="18"/>
    <cellStyle name="Hyperlink" xfId="16" builtinId="8"/>
    <cellStyle name="Normal" xfId="0" builtinId="0"/>
    <cellStyle name="Normal 15 18" xfId="2" xr:uid="{00000000-0005-0000-0000-000002000000}"/>
    <cellStyle name="Normal 15 18 3" xfId="7" xr:uid="{00000000-0005-0000-0000-000003000000}"/>
    <cellStyle name="Normal 16" xfId="5" xr:uid="{00000000-0005-0000-0000-000004000000}"/>
    <cellStyle name="Normal 19" xfId="9" xr:uid="{00000000-0005-0000-0000-000005000000}"/>
    <cellStyle name="Normal 2" xfId="1" xr:uid="{00000000-0005-0000-0000-000006000000}"/>
    <cellStyle name="Normal 2 10 5" xfId="3" xr:uid="{00000000-0005-0000-0000-000007000000}"/>
    <cellStyle name="Normal 2 42 2" xfId="6" xr:uid="{00000000-0005-0000-0000-000008000000}"/>
    <cellStyle name="Normal 30" xfId="8" xr:uid="{00000000-0005-0000-0000-000009000000}"/>
    <cellStyle name="Normal_Sheet1" xfId="10" xr:uid="{35949779-B20E-4E02-8B8D-FCABA9EB44C0}"/>
    <cellStyle name="Normal_Sheet1 2" xfId="4" xr:uid="{00000000-0005-0000-0000-00000C000000}"/>
    <cellStyle name="Percent" xfId="11" builtinId="5"/>
  </cellStyles>
  <dxfs count="250">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vertical="top" textRotation="0" wrapText="1" indent="0" justifyLastLine="0" shrinkToFit="0" readingOrder="0"/>
      <border outline="0">
        <left style="thin">
          <color indexed="64"/>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vertical="top" textRotation="0" wrapText="1"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strike val="0"/>
        <color theme="0" tint="-0.24994659260841701"/>
      </font>
    </dxf>
    <dxf>
      <font>
        <b/>
        <i val="0"/>
      </font>
      <fill>
        <patternFill>
          <bgColor theme="2" tint="-9.9948118533890809E-2"/>
        </patternFill>
      </fill>
    </dxf>
    <dxf>
      <font>
        <b/>
        <i val="0"/>
      </font>
      <fill>
        <patternFill>
          <bgColor theme="2" tint="-9.9948118533890809E-2"/>
        </patternFill>
      </fill>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color theme="0"/>
      </font>
      <fill>
        <patternFill patternType="none">
          <bgColor auto="1"/>
        </patternFill>
      </fill>
      <border>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color theme="0"/>
      </font>
      <fill>
        <patternFill patternType="none">
          <bgColor auto="1"/>
        </patternFill>
      </fill>
      <border>
        <left style="thin">
          <color auto="1"/>
        </left>
        <right style="thin">
          <color auto="1"/>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color theme="0"/>
      </font>
      <fill>
        <patternFill patternType="none">
          <bgColor auto="1"/>
        </patternFill>
      </fill>
      <border>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color theme="0"/>
      </font>
      <fill>
        <patternFill patternType="none">
          <bgColor auto="1"/>
        </patternFill>
      </fill>
      <border>
        <left/>
        <right/>
        <top/>
        <bottom/>
      </border>
    </dxf>
    <dxf>
      <font>
        <color theme="0"/>
      </font>
      <fill>
        <patternFill patternType="none">
          <bgColor auto="1"/>
        </patternFill>
      </fill>
      <border>
        <left style="thin">
          <color auto="1"/>
        </left>
        <right style="thin">
          <color auto="1"/>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b/>
        <i val="0"/>
      </font>
    </dxf>
    <dxf>
      <font>
        <b/>
        <i val="0"/>
      </font>
    </dxf>
    <dxf>
      <font>
        <color theme="0" tint="-0.24994659260841701"/>
      </font>
    </dxf>
    <dxf>
      <font>
        <color theme="0"/>
      </font>
      <fill>
        <patternFill patternType="none">
          <bgColor auto="1"/>
        </patternFill>
      </fill>
      <border>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color theme="0"/>
      </font>
      <fill>
        <patternFill patternType="none">
          <bgColor auto="1"/>
        </patternFill>
      </fill>
      <border>
        <left style="thin">
          <color auto="1"/>
        </left>
        <right style="thin">
          <color auto="1"/>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b/>
        <i val="0"/>
      </font>
    </dxf>
    <dxf>
      <font>
        <b/>
        <i val="0"/>
      </font>
    </dxf>
    <dxf>
      <font>
        <color theme="0" tint="-0.24994659260841701"/>
      </font>
    </dxf>
    <dxf>
      <font>
        <color theme="0"/>
      </font>
      <fill>
        <patternFill patternType="none">
          <bgColor auto="1"/>
        </patternFill>
      </fill>
      <border>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color theme="0"/>
      </font>
      <fill>
        <patternFill patternType="none">
          <bgColor auto="1"/>
        </patternFill>
      </fill>
      <border>
        <left/>
        <right/>
        <top/>
        <bottom/>
      </border>
    </dxf>
    <dxf>
      <font>
        <color theme="0"/>
      </font>
      <fill>
        <patternFill patternType="none">
          <bgColor auto="1"/>
        </patternFill>
      </fill>
      <border>
        <left style="thin">
          <color auto="1"/>
        </left>
        <right style="thin">
          <color auto="1"/>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color theme="0"/>
      </font>
      <fill>
        <patternFill patternType="none">
          <bgColor auto="1"/>
        </patternFill>
      </fill>
      <border>
        <left/>
        <right/>
        <top/>
        <bottom/>
      </border>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style="thin">
          <color auto="1"/>
        </left>
        <right style="thin">
          <color auto="1"/>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color theme="0"/>
      </font>
      <fill>
        <patternFill patternType="none">
          <bgColor auto="1"/>
        </patternFill>
      </fill>
      <border>
        <left/>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color theme="0"/>
      </font>
      <fill>
        <patternFill patternType="none">
          <bgColor auto="1"/>
        </patternFill>
      </fill>
      <border>
        <left style="thin">
          <color auto="1"/>
        </left>
        <right style="thin">
          <color auto="1"/>
        </right>
        <top/>
        <bottom/>
      </border>
    </dxf>
    <dxf>
      <font>
        <b val="0"/>
        <i val="0"/>
        <strike val="0"/>
        <color theme="0"/>
      </font>
      <fill>
        <patternFill patternType="none">
          <bgColor auto="1"/>
        </patternFill>
      </fill>
      <border>
        <left/>
        <right style="thin">
          <color auto="1"/>
        </right>
        <top/>
        <bottom/>
      </border>
    </dxf>
    <dxf>
      <font>
        <strike val="0"/>
        <color theme="0"/>
      </font>
      <fill>
        <patternFill patternType="none">
          <bgColor auto="1"/>
        </patternFill>
      </fill>
      <border>
        <left style="thin">
          <color auto="1"/>
        </left>
        <right/>
        <top/>
        <bottom/>
      </border>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strike val="0"/>
        <color theme="0" tint="-0.24994659260841701"/>
      </font>
    </dxf>
    <dxf>
      <font>
        <b/>
        <i val="0"/>
      </font>
    </dxf>
    <dxf>
      <font>
        <b/>
        <i val="0"/>
      </font>
    </dxf>
    <dxf>
      <font>
        <color theme="0" tint="-0.24994659260841701"/>
      </font>
    </dxf>
    <dxf>
      <font>
        <b/>
        <i val="0"/>
      </font>
    </dxf>
    <dxf>
      <font>
        <b/>
        <i val="0"/>
      </font>
    </dxf>
    <dxf>
      <font>
        <b/>
        <i val="0"/>
      </font>
    </dxf>
    <dxf>
      <font>
        <b/>
        <i val="0"/>
      </font>
    </dxf>
    <dxf>
      <font>
        <b/>
        <i val="0"/>
      </font>
    </dxf>
    <dxf>
      <font>
        <color theme="0" tint="-0.24994659260841701"/>
      </font>
    </dxf>
    <dxf>
      <font>
        <b val="0"/>
        <i val="0"/>
        <color theme="0"/>
      </font>
      <numFmt numFmtId="2" formatCode="0.00"/>
      <fill>
        <patternFill patternType="none">
          <bgColor auto="1"/>
        </patternFill>
      </fill>
      <border>
        <left style="thin">
          <color auto="1"/>
        </left>
        <right/>
        <top/>
        <bottom/>
      </border>
    </dxf>
    <dxf>
      <font>
        <color theme="0" tint="-0.24994659260841701"/>
      </font>
    </dxf>
    <dxf>
      <font>
        <color theme="0"/>
      </font>
      <fill>
        <patternFill patternType="none">
          <bgColor auto="1"/>
        </patternFill>
      </fill>
      <border>
        <left style="thin">
          <color auto="1"/>
        </left>
        <right/>
        <top/>
        <bottom/>
      </border>
    </dxf>
    <dxf>
      <font>
        <color theme="0"/>
      </font>
      <fill>
        <patternFill patternType="none">
          <bgColor auto="1"/>
        </patternFill>
      </fill>
      <border>
        <left/>
        <right/>
        <top/>
        <bottom/>
      </border>
    </dxf>
    <dxf>
      <font>
        <color theme="0"/>
      </font>
      <fill>
        <patternFill patternType="none">
          <bgColor auto="1"/>
        </patternFill>
      </fill>
      <border>
        <left style="thin">
          <color auto="1"/>
        </left>
        <right/>
        <top/>
        <bottom/>
      </border>
    </dxf>
    <dxf>
      <font>
        <color theme="0"/>
      </font>
      <fill>
        <patternFill patternType="none">
          <bgColor auto="1"/>
        </patternFill>
      </fill>
      <border>
        <left/>
        <right/>
        <top style="thin">
          <color auto="1"/>
        </top>
        <bottom/>
      </border>
    </dxf>
    <dxf>
      <font>
        <color theme="0"/>
      </font>
      <fill>
        <patternFill patternType="none">
          <bgColor auto="1"/>
        </patternFill>
      </fill>
      <border>
        <left/>
        <right/>
        <top style="thin">
          <color auto="1"/>
        </top>
        <bottom/>
      </border>
    </dxf>
  </dxfs>
  <tableStyles count="0" defaultTableStyle="TableStyleMedium2" defaultPivotStyle="PivotStyleLight16"/>
  <colors>
    <mruColors>
      <color rgb="FFFF4B4B"/>
      <color rgb="FFFF66FF"/>
      <color rgb="FF66FF99"/>
      <color rgb="FF99FF99"/>
      <color rgb="FF99FFCC"/>
      <color rgb="FFFFFF99"/>
      <color rgb="FFFFCC99"/>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1.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 Total Daily Intake of PFAS - Terrestrial Wildlife </a:t>
            </a:r>
          </a:p>
        </c:rich>
      </c:tx>
      <c:layout>
        <c:manualLayout>
          <c:xMode val="edge"/>
          <c:yMode val="edge"/>
          <c:x val="0.14559845403939892"/>
          <c:y val="0.9069022121100217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1234629438096146E-2"/>
          <c:y val="7.10789744322807E-2"/>
          <c:w val="0.81834953060451199"/>
          <c:h val="0.76094488188976372"/>
        </c:manualLayout>
      </c:layout>
      <c:barChart>
        <c:barDir val="col"/>
        <c:grouping val="percentStacked"/>
        <c:varyColors val="0"/>
        <c:ser>
          <c:idx val="1"/>
          <c:order val="0"/>
          <c:tx>
            <c:strRef>
              <c:f>'TDI Fig Data'!$A$3</c:f>
              <c:strCache>
                <c:ptCount val="1"/>
                <c:pt idx="0">
                  <c:v>PFBA</c:v>
                </c:pt>
              </c:strCache>
            </c:strRef>
          </c:tx>
          <c:spPr>
            <a:solidFill>
              <a:schemeClr val="accent2"/>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Data'!$B$3:$G$3</c:f>
              <c:numCache>
                <c:formatCode>0.00E+00</c:formatCode>
                <c:ptCount val="6"/>
                <c:pt idx="0">
                  <c:v>4.9778154997893766E-3</c:v>
                </c:pt>
                <c:pt idx="1">
                  <c:v>4.898824700800932E-4</c:v>
                </c:pt>
                <c:pt idx="2">
                  <c:v>6.4372988950920076E-3</c:v>
                </c:pt>
                <c:pt idx="3">
                  <c:v>3.9405217819715984E-3</c:v>
                </c:pt>
                <c:pt idx="4">
                  <c:v>7.9481456155627319E-4</c:v>
                </c:pt>
                <c:pt idx="5">
                  <c:v>1.6571324929967829E-3</c:v>
                </c:pt>
              </c:numCache>
            </c:numRef>
          </c:val>
          <c:extLst>
            <c:ext xmlns:c16="http://schemas.microsoft.com/office/drawing/2014/chart" uri="{C3380CC4-5D6E-409C-BE32-E72D297353CC}">
              <c16:uniqueId val="{00000001-B00B-410B-A31C-93646CBB55D2}"/>
            </c:ext>
          </c:extLst>
        </c:ser>
        <c:ser>
          <c:idx val="2"/>
          <c:order val="1"/>
          <c:tx>
            <c:strRef>
              <c:f>'TDI Fig Data'!$A$4</c:f>
              <c:strCache>
                <c:ptCount val="1"/>
                <c:pt idx="0">
                  <c:v>PFPeA</c:v>
                </c:pt>
              </c:strCache>
            </c:strRef>
          </c:tx>
          <c:spPr>
            <a:solidFill>
              <a:schemeClr val="accent3"/>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Data'!$B$4:$G$4</c:f>
              <c:numCache>
                <c:formatCode>0.00E+00</c:formatCode>
                <c:ptCount val="6"/>
                <c:pt idx="0">
                  <c:v>2.938863802431152E-2</c:v>
                </c:pt>
                <c:pt idx="1">
                  <c:v>2.9934597428764561E-3</c:v>
                </c:pt>
                <c:pt idx="2">
                  <c:v>3.8039318934670725E-2</c:v>
                </c:pt>
                <c:pt idx="3">
                  <c:v>2.3280950659900386E-2</c:v>
                </c:pt>
                <c:pt idx="4">
                  <c:v>4.7404560074753264E-3</c:v>
                </c:pt>
                <c:pt idx="5">
                  <c:v>9.8274231746740166E-3</c:v>
                </c:pt>
              </c:numCache>
            </c:numRef>
          </c:val>
          <c:extLst>
            <c:ext xmlns:c16="http://schemas.microsoft.com/office/drawing/2014/chart" uri="{C3380CC4-5D6E-409C-BE32-E72D297353CC}">
              <c16:uniqueId val="{00000002-B00B-410B-A31C-93646CBB55D2}"/>
            </c:ext>
          </c:extLst>
        </c:ser>
        <c:ser>
          <c:idx val="3"/>
          <c:order val="2"/>
          <c:tx>
            <c:strRef>
              <c:f>'TDI Fig Data'!$A$5</c:f>
              <c:strCache>
                <c:ptCount val="1"/>
                <c:pt idx="0">
                  <c:v>PFHxA</c:v>
                </c:pt>
              </c:strCache>
            </c:strRef>
          </c:tx>
          <c:spPr>
            <a:solidFill>
              <a:schemeClr val="accent4"/>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Data'!$B$5:$G$5</c:f>
              <c:numCache>
                <c:formatCode>0.00E+00</c:formatCode>
                <c:ptCount val="6"/>
                <c:pt idx="0">
                  <c:v>1.0641212853271365E-5</c:v>
                </c:pt>
                <c:pt idx="1">
                  <c:v>3.4073738611740208E-5</c:v>
                </c:pt>
                <c:pt idx="2">
                  <c:v>1.3773412697114689E-5</c:v>
                </c:pt>
                <c:pt idx="3">
                  <c:v>3.879950489632186E-6</c:v>
                </c:pt>
                <c:pt idx="4">
                  <c:v>4.4798319651242216E-5</c:v>
                </c:pt>
                <c:pt idx="5">
                  <c:v>7.7894151040563557E-6</c:v>
                </c:pt>
              </c:numCache>
            </c:numRef>
          </c:val>
          <c:extLst>
            <c:ext xmlns:c16="http://schemas.microsoft.com/office/drawing/2014/chart" uri="{C3380CC4-5D6E-409C-BE32-E72D297353CC}">
              <c16:uniqueId val="{00000003-B00B-410B-A31C-93646CBB55D2}"/>
            </c:ext>
          </c:extLst>
        </c:ser>
        <c:ser>
          <c:idx val="4"/>
          <c:order val="3"/>
          <c:tx>
            <c:strRef>
              <c:f>'TDI Fig Data'!$A$6</c:f>
              <c:strCache>
                <c:ptCount val="1"/>
                <c:pt idx="0">
                  <c:v>PFHpA</c:v>
                </c:pt>
              </c:strCache>
            </c:strRef>
          </c:tx>
          <c:spPr>
            <a:solidFill>
              <a:schemeClr val="accent5"/>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Data'!$B$6:$G$6</c:f>
              <c:numCache>
                <c:formatCode>0.00E+00</c:formatCode>
                <c:ptCount val="6"/>
                <c:pt idx="0">
                  <c:v>4.2607424105235844E-3</c:v>
                </c:pt>
                <c:pt idx="1">
                  <c:v>1.3520610940683728E-3</c:v>
                </c:pt>
                <c:pt idx="2">
                  <c:v>5.6839207168284511E-3</c:v>
                </c:pt>
                <c:pt idx="3">
                  <c:v>3.4029878245460513E-3</c:v>
                </c:pt>
                <c:pt idx="4">
                  <c:v>1.4627315073615236E-3</c:v>
                </c:pt>
                <c:pt idx="5">
                  <c:v>1.6885233317124272E-3</c:v>
                </c:pt>
              </c:numCache>
            </c:numRef>
          </c:val>
          <c:extLst>
            <c:ext xmlns:c16="http://schemas.microsoft.com/office/drawing/2014/chart" uri="{C3380CC4-5D6E-409C-BE32-E72D297353CC}">
              <c16:uniqueId val="{00000004-B00B-410B-A31C-93646CBB55D2}"/>
            </c:ext>
          </c:extLst>
        </c:ser>
        <c:ser>
          <c:idx val="5"/>
          <c:order val="4"/>
          <c:tx>
            <c:strRef>
              <c:f>'TDI Fig Data'!$A$7</c:f>
              <c:strCache>
                <c:ptCount val="1"/>
                <c:pt idx="0">
                  <c:v>PFOA</c:v>
                </c:pt>
              </c:strCache>
            </c:strRef>
          </c:tx>
          <c:spPr>
            <a:solidFill>
              <a:schemeClr val="accent6"/>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Data'!$B$7:$G$7</c:f>
              <c:numCache>
                <c:formatCode>0.00E+00</c:formatCode>
                <c:ptCount val="6"/>
                <c:pt idx="0">
                  <c:v>1.6041884616122844E-5</c:v>
                </c:pt>
                <c:pt idx="1">
                  <c:v>1.5796629431057733E-5</c:v>
                </c:pt>
                <c:pt idx="2">
                  <c:v>1.3935590704258519E-5</c:v>
                </c:pt>
                <c:pt idx="3">
                  <c:v>4.4181686361868966E-6</c:v>
                </c:pt>
                <c:pt idx="4">
                  <c:v>3.8329077760976747E-5</c:v>
                </c:pt>
                <c:pt idx="5">
                  <c:v>1.502259340347492E-6</c:v>
                </c:pt>
              </c:numCache>
            </c:numRef>
          </c:val>
          <c:extLst>
            <c:ext xmlns:c16="http://schemas.microsoft.com/office/drawing/2014/chart" uri="{C3380CC4-5D6E-409C-BE32-E72D297353CC}">
              <c16:uniqueId val="{00000005-B00B-410B-A31C-93646CBB55D2}"/>
            </c:ext>
          </c:extLst>
        </c:ser>
        <c:ser>
          <c:idx val="6"/>
          <c:order val="5"/>
          <c:tx>
            <c:strRef>
              <c:f>'TDI Fig Data'!$A$8</c:f>
              <c:strCache>
                <c:ptCount val="1"/>
                <c:pt idx="0">
                  <c:v>PFNA</c:v>
                </c:pt>
              </c:strCache>
            </c:strRef>
          </c:tx>
          <c:spPr>
            <a:solidFill>
              <a:schemeClr val="accent1">
                <a:lumMod val="6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Data'!$B$8:$G$8</c:f>
              <c:numCache>
                <c:formatCode>0.00E+00</c:formatCode>
                <c:ptCount val="6"/>
                <c:pt idx="0">
                  <c:v>8.2747570742199798E-4</c:v>
                </c:pt>
                <c:pt idx="1">
                  <c:v>1.0601378665069888E-2</c:v>
                </c:pt>
                <c:pt idx="2">
                  <c:v>3.0590125043111639E-3</c:v>
                </c:pt>
                <c:pt idx="3">
                  <c:v>1.0150318986607461E-3</c:v>
                </c:pt>
                <c:pt idx="4">
                  <c:v>8.8945639533250607E-3</c:v>
                </c:pt>
                <c:pt idx="5">
                  <c:v>3.3550410255912132E-3</c:v>
                </c:pt>
              </c:numCache>
            </c:numRef>
          </c:val>
          <c:extLst>
            <c:ext xmlns:c16="http://schemas.microsoft.com/office/drawing/2014/chart" uri="{C3380CC4-5D6E-409C-BE32-E72D297353CC}">
              <c16:uniqueId val="{00000006-B00B-410B-A31C-93646CBB55D2}"/>
            </c:ext>
          </c:extLst>
        </c:ser>
        <c:ser>
          <c:idx val="7"/>
          <c:order val="6"/>
          <c:tx>
            <c:strRef>
              <c:f>'TDI Fig Data'!$A$9</c:f>
              <c:strCache>
                <c:ptCount val="1"/>
                <c:pt idx="0">
                  <c:v>PFDA</c:v>
                </c:pt>
              </c:strCache>
            </c:strRef>
          </c:tx>
          <c:spPr>
            <a:solidFill>
              <a:schemeClr val="accent2">
                <a:lumMod val="6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Data'!$B$9:$G$9</c:f>
              <c:numCache>
                <c:formatCode>0.00E+00</c:formatCode>
                <c:ptCount val="6"/>
                <c:pt idx="0">
                  <c:v>7.7749997623570194E-4</c:v>
                </c:pt>
                <c:pt idx="1">
                  <c:v>4.0120362885703392E-2</c:v>
                </c:pt>
                <c:pt idx="2">
                  <c:v>8.5982630770521633E-3</c:v>
                </c:pt>
                <c:pt idx="3">
                  <c:v>2.0060952800703808E-3</c:v>
                </c:pt>
                <c:pt idx="4">
                  <c:v>3.3422623286722526E-2</c:v>
                </c:pt>
                <c:pt idx="5">
                  <c:v>1.1999691962494383E-2</c:v>
                </c:pt>
              </c:numCache>
            </c:numRef>
          </c:val>
          <c:extLst>
            <c:ext xmlns:c16="http://schemas.microsoft.com/office/drawing/2014/chart" uri="{C3380CC4-5D6E-409C-BE32-E72D297353CC}">
              <c16:uniqueId val="{00000007-B00B-410B-A31C-93646CBB55D2}"/>
            </c:ext>
          </c:extLst>
        </c:ser>
        <c:ser>
          <c:idx val="8"/>
          <c:order val="7"/>
          <c:tx>
            <c:strRef>
              <c:f>'TDI Fig Data'!$A$10</c:f>
              <c:strCache>
                <c:ptCount val="1"/>
                <c:pt idx="0">
                  <c:v>PFUnDA </c:v>
                </c:pt>
              </c:strCache>
            </c:strRef>
          </c:tx>
          <c:spPr>
            <a:solidFill>
              <a:schemeClr val="accent3">
                <a:lumMod val="6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Data'!$B$10:$G$10</c:f>
              <c:numCache>
                <c:formatCode>0.00E+00</c:formatCode>
                <c:ptCount val="6"/>
                <c:pt idx="0">
                  <c:v>7.0517161320008076E-4</c:v>
                </c:pt>
                <c:pt idx="1">
                  <c:v>6.012684870354857E-2</c:v>
                </c:pt>
                <c:pt idx="2">
                  <c:v>1.2305656462830558E-2</c:v>
                </c:pt>
                <c:pt idx="3">
                  <c:v>2.6495454529842978E-3</c:v>
                </c:pt>
                <c:pt idx="4">
                  <c:v>5.003794465739983E-2</c:v>
                </c:pt>
                <c:pt idx="5">
                  <c:v>1.784862920470881E-2</c:v>
                </c:pt>
              </c:numCache>
            </c:numRef>
          </c:val>
          <c:extLst>
            <c:ext xmlns:c16="http://schemas.microsoft.com/office/drawing/2014/chart" uri="{C3380CC4-5D6E-409C-BE32-E72D297353CC}">
              <c16:uniqueId val="{00000008-B00B-410B-A31C-93646CBB55D2}"/>
            </c:ext>
          </c:extLst>
        </c:ser>
        <c:ser>
          <c:idx val="9"/>
          <c:order val="8"/>
          <c:tx>
            <c:strRef>
              <c:f>'TDI Fig Data'!$A$11</c:f>
              <c:strCache>
                <c:ptCount val="1"/>
                <c:pt idx="0">
                  <c:v>PFDoDA </c:v>
                </c:pt>
              </c:strCache>
            </c:strRef>
          </c:tx>
          <c:spPr>
            <a:solidFill>
              <a:schemeClr val="accent4">
                <a:lumMod val="6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Data'!$B$11:$G$11</c:f>
              <c:numCache>
                <c:formatCode>0.00E+00</c:formatCode>
                <c:ptCount val="6"/>
                <c:pt idx="0">
                  <c:v>7.7951025598125862E-4</c:v>
                </c:pt>
                <c:pt idx="1">
                  <c:v>0.11748440110167176</c:v>
                </c:pt>
                <c:pt idx="2">
                  <c:v>2.3290506547410883E-2</c:v>
                </c:pt>
                <c:pt idx="3">
                  <c:v>4.7133787268552789E-3</c:v>
                </c:pt>
                <c:pt idx="4">
                  <c:v>9.7703037951312188E-2</c:v>
                </c:pt>
                <c:pt idx="5">
                  <c:v>3.4700465509806787E-2</c:v>
                </c:pt>
              </c:numCache>
            </c:numRef>
          </c:val>
          <c:extLst>
            <c:ext xmlns:c16="http://schemas.microsoft.com/office/drawing/2014/chart" uri="{C3380CC4-5D6E-409C-BE32-E72D297353CC}">
              <c16:uniqueId val="{00000009-B00B-410B-A31C-93646CBB55D2}"/>
            </c:ext>
          </c:extLst>
        </c:ser>
        <c:ser>
          <c:idx val="10"/>
          <c:order val="9"/>
          <c:tx>
            <c:strRef>
              <c:f>'TDI Fig Data'!$A$12</c:f>
              <c:strCache>
                <c:ptCount val="1"/>
                <c:pt idx="0">
                  <c:v>PFTrDA </c:v>
                </c:pt>
              </c:strCache>
            </c:strRef>
          </c:tx>
          <c:spPr>
            <a:solidFill>
              <a:schemeClr val="accent5">
                <a:lumMod val="6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Data'!$B$12:$G$12</c:f>
              <c:numCache>
                <c:formatCode>0.00E+00</c:formatCode>
                <c:ptCount val="6"/>
                <c:pt idx="0">
                  <c:v>2.2322705452099461E-5</c:v>
                </c:pt>
                <c:pt idx="1">
                  <c:v>2.3833429759935779E-5</c:v>
                </c:pt>
                <c:pt idx="2">
                  <c:v>1.696447265060061E-5</c:v>
                </c:pt>
                <c:pt idx="3">
                  <c:v>3.4905610386686618E-6</c:v>
                </c:pt>
                <c:pt idx="4">
                  <c:v>6.2090104277892063E-5</c:v>
                </c:pt>
                <c:pt idx="5">
                  <c:v>6.363636363636364E-7</c:v>
                </c:pt>
              </c:numCache>
            </c:numRef>
          </c:val>
          <c:extLst>
            <c:ext xmlns:c16="http://schemas.microsoft.com/office/drawing/2014/chart" uri="{C3380CC4-5D6E-409C-BE32-E72D297353CC}">
              <c16:uniqueId val="{0000000A-B00B-410B-A31C-93646CBB55D2}"/>
            </c:ext>
          </c:extLst>
        </c:ser>
        <c:ser>
          <c:idx val="11"/>
          <c:order val="10"/>
          <c:tx>
            <c:strRef>
              <c:f>'TDI Fig Data'!$A$13</c:f>
              <c:strCache>
                <c:ptCount val="1"/>
                <c:pt idx="0">
                  <c:v>PFTeDA </c:v>
                </c:pt>
              </c:strCache>
            </c:strRef>
          </c:tx>
          <c:spPr>
            <a:solidFill>
              <a:schemeClr val="accent6">
                <a:lumMod val="6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Data'!$B$13:$G$13</c:f>
              <c:numCache>
                <c:formatCode>0.00E+00</c:formatCode>
                <c:ptCount val="6"/>
                <c:pt idx="0">
                  <c:v>2.885350788738252E-5</c:v>
                </c:pt>
                <c:pt idx="1">
                  <c:v>3.7995694717023002E-5</c:v>
                </c:pt>
                <c:pt idx="2">
                  <c:v>2.4728561385681218E-5</c:v>
                </c:pt>
                <c:pt idx="3">
                  <c:v>6.0559244463481761E-6</c:v>
                </c:pt>
                <c:pt idx="4">
                  <c:v>8.2656997272773371E-5</c:v>
                </c:pt>
                <c:pt idx="5">
                  <c:v>4.2128893702099965E-6</c:v>
                </c:pt>
              </c:numCache>
            </c:numRef>
          </c:val>
          <c:extLst>
            <c:ext xmlns:c16="http://schemas.microsoft.com/office/drawing/2014/chart" uri="{C3380CC4-5D6E-409C-BE32-E72D297353CC}">
              <c16:uniqueId val="{0000000B-B00B-410B-A31C-93646CBB55D2}"/>
            </c:ext>
          </c:extLst>
        </c:ser>
        <c:ser>
          <c:idx val="13"/>
          <c:order val="11"/>
          <c:tx>
            <c:strRef>
              <c:f>'TDI Fig Data'!$A$14</c:f>
              <c:strCache>
                <c:ptCount val="1"/>
                <c:pt idx="0">
                  <c:v>PFBS </c:v>
                </c:pt>
              </c:strCache>
            </c:strRef>
          </c:tx>
          <c:spPr>
            <a:solidFill>
              <a:schemeClr val="accent2">
                <a:lumMod val="80000"/>
                <a:lumOff val="2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Data'!$B$14:$G$14</c:f>
              <c:numCache>
                <c:formatCode>0.00E+00</c:formatCode>
                <c:ptCount val="6"/>
                <c:pt idx="0">
                  <c:v>9.0462859205430648E-3</c:v>
                </c:pt>
                <c:pt idx="1">
                  <c:v>8.8726012455100651E-4</c:v>
                </c:pt>
                <c:pt idx="2">
                  <c:v>1.1700525644756314E-2</c:v>
                </c:pt>
                <c:pt idx="3">
                  <c:v>7.1632303453211359E-3</c:v>
                </c:pt>
                <c:pt idx="4">
                  <c:v>1.4359013605082748E-3</c:v>
                </c:pt>
                <c:pt idx="5">
                  <c:v>3.0130122225175901E-3</c:v>
                </c:pt>
              </c:numCache>
            </c:numRef>
          </c:val>
          <c:extLst>
            <c:ext xmlns:c16="http://schemas.microsoft.com/office/drawing/2014/chart" uri="{C3380CC4-5D6E-409C-BE32-E72D297353CC}">
              <c16:uniqueId val="{00000001-5026-40B5-91ED-63C4FE9B1306}"/>
            </c:ext>
          </c:extLst>
        </c:ser>
        <c:ser>
          <c:idx val="14"/>
          <c:order val="12"/>
          <c:tx>
            <c:strRef>
              <c:f>'TDI Fig Data'!$A$15</c:f>
              <c:strCache>
                <c:ptCount val="1"/>
                <c:pt idx="0">
                  <c:v>PFHxS </c:v>
                </c:pt>
              </c:strCache>
            </c:strRef>
          </c:tx>
          <c:spPr>
            <a:solidFill>
              <a:schemeClr val="accent3">
                <a:lumMod val="80000"/>
                <a:lumOff val="2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Data'!$B$15:$G$15</c:f>
              <c:numCache>
                <c:formatCode>0.00E+00</c:formatCode>
                <c:ptCount val="6"/>
                <c:pt idx="0">
                  <c:v>1.1771343525702946E-5</c:v>
                </c:pt>
                <c:pt idx="1">
                  <c:v>2.6182612119846932E-2</c:v>
                </c:pt>
                <c:pt idx="2">
                  <c:v>4.9813296922219556E-3</c:v>
                </c:pt>
                <c:pt idx="3">
                  <c:v>9.2032094368256435E-4</c:v>
                </c:pt>
                <c:pt idx="4">
                  <c:v>2.1768385990539894E-2</c:v>
                </c:pt>
                <c:pt idx="5">
                  <c:v>7.6815077343661995E-3</c:v>
                </c:pt>
              </c:numCache>
            </c:numRef>
          </c:val>
          <c:extLst>
            <c:ext xmlns:c16="http://schemas.microsoft.com/office/drawing/2014/chart" uri="{C3380CC4-5D6E-409C-BE32-E72D297353CC}">
              <c16:uniqueId val="{00000002-5026-40B5-91ED-63C4FE9B1306}"/>
            </c:ext>
          </c:extLst>
        </c:ser>
        <c:ser>
          <c:idx val="15"/>
          <c:order val="13"/>
          <c:tx>
            <c:strRef>
              <c:f>'TDI Fig Data'!$A$16</c:f>
              <c:strCache>
                <c:ptCount val="1"/>
                <c:pt idx="0">
                  <c:v>PFOS</c:v>
                </c:pt>
              </c:strCache>
            </c:strRef>
          </c:tx>
          <c:spPr>
            <a:solidFill>
              <a:schemeClr val="accent4">
                <a:lumMod val="80000"/>
                <a:lumOff val="2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Data'!$B$16:$G$16</c:f>
              <c:numCache>
                <c:formatCode>0.00E+00</c:formatCode>
                <c:ptCount val="6"/>
                <c:pt idx="0">
                  <c:v>3.1329422791824229E-3</c:v>
                </c:pt>
                <c:pt idx="1">
                  <c:v>3.2145190674025964E-4</c:v>
                </c:pt>
                <c:pt idx="2">
                  <c:v>4.0463837553974128E-3</c:v>
                </c:pt>
                <c:pt idx="3">
                  <c:v>2.4734137176889159E-3</c:v>
                </c:pt>
                <c:pt idx="4">
                  <c:v>5.3048620859400962E-4</c:v>
                </c:pt>
                <c:pt idx="5">
                  <c:v>1.040614751760278E-3</c:v>
                </c:pt>
              </c:numCache>
            </c:numRef>
          </c:val>
          <c:extLst>
            <c:ext xmlns:c16="http://schemas.microsoft.com/office/drawing/2014/chart" uri="{C3380CC4-5D6E-409C-BE32-E72D297353CC}">
              <c16:uniqueId val="{00000003-5026-40B5-91ED-63C4FE9B1306}"/>
            </c:ext>
          </c:extLst>
        </c:ser>
        <c:ser>
          <c:idx val="16"/>
          <c:order val="14"/>
          <c:tx>
            <c:strRef>
              <c:f>'TDI Fig Data'!$A$17</c:f>
              <c:strCache>
                <c:ptCount val="1"/>
                <c:pt idx="0">
                  <c:v>PFDS</c:v>
                </c:pt>
              </c:strCache>
            </c:strRef>
          </c:tx>
          <c:spPr>
            <a:solidFill>
              <a:schemeClr val="accent5">
                <a:lumMod val="80000"/>
                <a:lumOff val="2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Data'!$B$17:$G$17</c:f>
              <c:numCache>
                <c:formatCode>0.00E+00</c:formatCode>
                <c:ptCount val="6"/>
                <c:pt idx="0">
                  <c:v>4.5925245297956804E-5</c:v>
                </c:pt>
                <c:pt idx="1">
                  <c:v>6.6479324502315346E-4</c:v>
                </c:pt>
                <c:pt idx="2">
                  <c:v>1.8180350954557207E-4</c:v>
                </c:pt>
                <c:pt idx="3">
                  <c:v>5.6873383127595461E-5</c:v>
                </c:pt>
                <c:pt idx="4">
                  <c:v>5.6317776858497647E-4</c:v>
                </c:pt>
                <c:pt idx="5">
                  <c:v>2.0619247423427024E-4</c:v>
                </c:pt>
              </c:numCache>
            </c:numRef>
          </c:val>
          <c:extLst>
            <c:ext xmlns:c16="http://schemas.microsoft.com/office/drawing/2014/chart" uri="{C3380CC4-5D6E-409C-BE32-E72D297353CC}">
              <c16:uniqueId val="{00000004-5026-40B5-91ED-63C4FE9B1306}"/>
            </c:ext>
          </c:extLst>
        </c:ser>
        <c:ser>
          <c:idx val="18"/>
          <c:order val="15"/>
          <c:tx>
            <c:strRef>
              <c:f>'TDI Fig Data'!$A$18</c:f>
              <c:strCache>
                <c:ptCount val="1"/>
                <c:pt idx="0">
                  <c:v>PFOSA</c:v>
                </c:pt>
              </c:strCache>
            </c:strRef>
          </c:tx>
          <c:spPr>
            <a:solidFill>
              <a:schemeClr val="accent1">
                <a:lumMod val="8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Data'!$B$18:$G$18</c:f>
              <c:numCache>
                <c:formatCode>0.00E+00</c:formatCode>
                <c:ptCount val="6"/>
                <c:pt idx="0">
                  <c:v>1.2699403528468327E-5</c:v>
                </c:pt>
                <c:pt idx="1">
                  <c:v>7.2756836281793143E-6</c:v>
                </c:pt>
                <c:pt idx="2">
                  <c:v>1.4561473530962956E-5</c:v>
                </c:pt>
                <c:pt idx="3">
                  <c:v>7.6462877123795312E-6</c:v>
                </c:pt>
                <c:pt idx="4">
                  <c:v>1.4390415666629454E-5</c:v>
                </c:pt>
                <c:pt idx="5">
                  <c:v>3.121107830404265E-6</c:v>
                </c:pt>
              </c:numCache>
            </c:numRef>
          </c:val>
          <c:extLst>
            <c:ext xmlns:c16="http://schemas.microsoft.com/office/drawing/2014/chart" uri="{C3380CC4-5D6E-409C-BE32-E72D297353CC}">
              <c16:uniqueId val="{00000006-5026-40B5-91ED-63C4FE9B1306}"/>
            </c:ext>
          </c:extLst>
        </c:ser>
        <c:ser>
          <c:idx val="0"/>
          <c:order val="16"/>
          <c:tx>
            <c:strRef>
              <c:f>'TDI Fig Data'!$A$19</c:f>
              <c:strCache>
                <c:ptCount val="1"/>
                <c:pt idx="0">
                  <c:v>N-EtFOSAA</c:v>
                </c:pt>
              </c:strCache>
            </c:strRef>
          </c:tx>
          <c:spPr>
            <a:solidFill>
              <a:schemeClr val="accent1"/>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Data'!$B$19:$G$19</c:f>
              <c:numCache>
                <c:formatCode>0.00E+00</c:formatCode>
                <c:ptCount val="6"/>
                <c:pt idx="0">
                  <c:v>7.5008024352830546E-6</c:v>
                </c:pt>
                <c:pt idx="1">
                  <c:v>2.4089771148757066E-5</c:v>
                </c:pt>
                <c:pt idx="2">
                  <c:v>1.1125994644299218E-5</c:v>
                </c:pt>
                <c:pt idx="3">
                  <c:v>4.1348793968129164E-6</c:v>
                </c:pt>
                <c:pt idx="4">
                  <c:v>2.7961773782432428E-5</c:v>
                </c:pt>
                <c:pt idx="5">
                  <c:v>6.47174772842875E-6</c:v>
                </c:pt>
              </c:numCache>
            </c:numRef>
          </c:val>
          <c:extLst>
            <c:ext xmlns:c16="http://schemas.microsoft.com/office/drawing/2014/chart" uri="{C3380CC4-5D6E-409C-BE32-E72D297353CC}">
              <c16:uniqueId val="{00000000-07BF-4F0A-8662-119E55D55672}"/>
            </c:ext>
          </c:extLst>
        </c:ser>
        <c:ser>
          <c:idx val="12"/>
          <c:order val="17"/>
          <c:tx>
            <c:strRef>
              <c:f>'TDI Fig Data'!$A$20</c:f>
              <c:strCache>
                <c:ptCount val="1"/>
                <c:pt idx="0">
                  <c:v>N-MeFOSAA</c:v>
                </c:pt>
              </c:strCache>
            </c:strRef>
          </c:tx>
          <c:spPr>
            <a:solidFill>
              <a:schemeClr val="accent1">
                <a:lumMod val="80000"/>
                <a:lumOff val="20000"/>
              </a:schemeClr>
            </a:solidFill>
            <a:ln>
              <a:noFill/>
            </a:ln>
            <a:effectLst/>
          </c:spPr>
          <c:invertIfNegative val="0"/>
          <c:cat>
            <c:strRef>
              <c:f>'TDI Fig Data'!$B$2:$G$2</c:f>
              <c:strCache>
                <c:ptCount val="6"/>
                <c:pt idx="0">
                  <c:v>Eastern Cottontail</c:v>
                </c:pt>
                <c:pt idx="1">
                  <c:v>Short-Tailed Shrew</c:v>
                </c:pt>
                <c:pt idx="2">
                  <c:v>Anastasia Beach Deermouse (T&amp;E)</c:v>
                </c:pt>
                <c:pt idx="3">
                  <c:v>Willow Ptarmigan</c:v>
                </c:pt>
                <c:pt idx="4">
                  <c:v>American Woodcock</c:v>
                </c:pt>
                <c:pt idx="5">
                  <c:v>Florida Scrub-Jay (T&amp;E)</c:v>
                </c:pt>
              </c:strCache>
            </c:strRef>
          </c:cat>
          <c:val>
            <c:numRef>
              <c:f>'TDI Fig Data'!$B$20:$G$20</c:f>
              <c:numCache>
                <c:formatCode>0.00E+00</c:formatCode>
                <c:ptCount val="6"/>
                <c:pt idx="0">
                  <c:v>5.2405410904198927E-6</c:v>
                </c:pt>
                <c:pt idx="1">
                  <c:v>6.5506859519871553E-6</c:v>
                </c:pt>
                <c:pt idx="2">
                  <c:v>4.9128945301201223E-6</c:v>
                </c:pt>
                <c:pt idx="3">
                  <c:v>1.7381122077337326E-6</c:v>
                </c:pt>
                <c:pt idx="4">
                  <c:v>1.3218020855578413E-5</c:v>
                </c:pt>
                <c:pt idx="5">
                  <c:v>6.363636363636364E-7</c:v>
                </c:pt>
              </c:numCache>
            </c:numRef>
          </c:val>
          <c:extLst>
            <c:ext xmlns:c16="http://schemas.microsoft.com/office/drawing/2014/chart" uri="{C3380CC4-5D6E-409C-BE32-E72D297353CC}">
              <c16:uniqueId val="{00000001-07BF-4F0A-8662-119E55D55672}"/>
            </c:ext>
          </c:extLst>
        </c:ser>
        <c:dLbls>
          <c:showLegendKey val="0"/>
          <c:showVal val="0"/>
          <c:showCatName val="0"/>
          <c:showSerName val="0"/>
          <c:showPercent val="0"/>
          <c:showBubbleSize val="0"/>
        </c:dLbls>
        <c:gapWidth val="150"/>
        <c:overlap val="100"/>
        <c:axId val="817037256"/>
        <c:axId val="817037912"/>
      </c:barChart>
      <c:catAx>
        <c:axId val="81703725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7037912"/>
        <c:crosses val="autoZero"/>
        <c:auto val="1"/>
        <c:lblAlgn val="ctr"/>
        <c:lblOffset val="100"/>
        <c:noMultiLvlLbl val="0"/>
      </c:catAx>
      <c:valAx>
        <c:axId val="817037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7037256"/>
        <c:crosses val="autoZero"/>
        <c:crossBetween val="between"/>
      </c:valAx>
      <c:spPr>
        <a:noFill/>
        <a:ln>
          <a:noFill/>
        </a:ln>
        <a:effectLst/>
      </c:spPr>
    </c:plotArea>
    <c:legend>
      <c:legendPos val="r"/>
      <c:layout>
        <c:manualLayout>
          <c:xMode val="edge"/>
          <c:yMode val="edge"/>
          <c:x val="0.87087744801130629"/>
          <c:y val="7.6743818520415646E-2"/>
          <c:w val="9.6657379366040783E-2"/>
          <c:h val="0.7394379787246715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AD25012-B63D-474F-A7E4-126FF7872223}">
  <sheetPr>
    <tabColor rgb="FFFFCC99"/>
  </sheetPr>
  <sheetViews>
    <sheetView workbookViewId="0"/>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0</xdr:rowOff>
    </xdr:from>
    <xdr:to>
      <xdr:col>3</xdr:col>
      <xdr:colOff>798819</xdr:colOff>
      <xdr:row>42</xdr:row>
      <xdr:rowOff>125506</xdr:rowOff>
    </xdr:to>
    <xdr:sp macro="" textlink="">
      <xdr:nvSpPr>
        <xdr:cNvPr id="2" name="TextBox 1">
          <a:extLst>
            <a:ext uri="{FF2B5EF4-FFF2-40B4-BE49-F238E27FC236}">
              <a16:creationId xmlns:a16="http://schemas.microsoft.com/office/drawing/2014/main" id="{CE06017C-634C-475E-88E4-22A97A751389}"/>
            </a:ext>
          </a:extLst>
        </xdr:cNvPr>
        <xdr:cNvSpPr txBox="1"/>
      </xdr:nvSpPr>
      <xdr:spPr>
        <a:xfrm>
          <a:off x="285750" y="6391275"/>
          <a:ext cx="3656319" cy="7732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sheet has been</a:t>
          </a:r>
          <a:r>
            <a:rPr lang="en-US" sz="1100" baseline="0"/>
            <a:t> protected.  To unprotect, </a:t>
          </a:r>
          <a:r>
            <a:rPr lang="en-US" sz="1100"/>
            <a:t>Go to Review</a:t>
          </a:r>
          <a:r>
            <a:rPr lang="en-US" sz="1100" baseline="0"/>
            <a:t> </a:t>
          </a:r>
          <a:r>
            <a:rPr lang="en-US" sz="1100"/>
            <a:t>&gt; Unprotect Sheet and enter</a:t>
          </a:r>
          <a:r>
            <a:rPr lang="en-US" sz="1100" baseline="0"/>
            <a:t> the pasword: pfasera</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9979A1DC-8074-4104-B66C-FFC3C91B08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C49D3B-5217-49D9-B261-C840CD7C4F93}" name="Table1" displayName="Table1" ref="A3:J193" totalsRowShown="0" headerRowDxfId="13" dataDxfId="11" headerRowBorderDxfId="12" tableBorderDxfId="10">
  <autoFilter ref="A3:J193" xr:uid="{9D7E84E9-95AD-497E-8D48-4A0F4E50C03C}"/>
  <sortState xmlns:xlrd2="http://schemas.microsoft.com/office/spreadsheetml/2017/richdata2" ref="A9:J83">
    <sortCondition ref="C3:C193"/>
  </sortState>
  <tableColumns count="10">
    <tableColumn id="1" xr3:uid="{12F3C8E6-4290-4D2C-BCCD-6D8CA7CEC9FB}" name="RECEPTOR TYPE" dataDxfId="9"/>
    <tableColumn id="2" xr3:uid="{D3C829D0-11EF-4326-877D-998FA806F599}" name="GUILD" dataDxfId="8"/>
    <tableColumn id="3" xr3:uid="{4DBA04E7-AAA0-46D7-8ACC-EA1BE833AF02}" name="Species" dataDxfId="7"/>
    <tableColumn id="4" xr3:uid="{95186665-88A2-4317-B99E-3E4BFBB47D15}" name="Parameter" dataDxfId="6"/>
    <tableColumn id="5" xr3:uid="{22C96B55-7519-46F8-A068-882763A477A0}" name="Definition" dataDxfId="5"/>
    <tableColumn id="7" xr3:uid="{0876F8C1-1BC9-4286-B4A8-D87883C59A97}" name="Lookup Code" dataDxfId="4">
      <calculatedColumnFormula>CONCATENATE(C4,"_",D4)</calculatedColumnFormula>
    </tableColumn>
    <tableColumn id="8" xr3:uid="{4367DC9E-7F5A-4ED5-A146-B1EBB014BD62}" name="Value" dataDxfId="3"/>
    <tableColumn id="9" xr3:uid="{F661BF43-FB4B-42D4-AF9D-BEA378E974BE}" name="Units" dataDxfId="2"/>
    <tableColumn id="10" xr3:uid="{5E6CFF90-FC8E-405A-92F6-0E4ABB0A180B}" name="Reference" dataDxfId="1"/>
    <tableColumn id="11" xr3:uid="{7B774E5A-45D8-428A-8EA2-C47A4D7EA6FE}" name="Note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jconder@geosyntec.com" TargetMode="External"/><Relationship Id="rId1" Type="http://schemas.openxmlformats.org/officeDocument/2006/relationships/hyperlink" Target="https://www.serdp-estcp.org/Program-Areas/Environmental-Restoration/ER18-161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8" Type="http://schemas.openxmlformats.org/officeDocument/2006/relationships/hyperlink" Target="https://explorer.natureserve.org/" TargetMode="External"/><Relationship Id="rId13" Type="http://schemas.openxmlformats.org/officeDocument/2006/relationships/printerSettings" Target="../printerSettings/printerSettings17.bin"/><Relationship Id="rId3" Type="http://schemas.openxmlformats.org/officeDocument/2006/relationships/hyperlink" Target="https://explorer.natureserve.org/" TargetMode="External"/><Relationship Id="rId7" Type="http://schemas.openxmlformats.org/officeDocument/2006/relationships/hyperlink" Target="https://explorer.natureserve.org/" TargetMode="External"/><Relationship Id="rId12" Type="http://schemas.openxmlformats.org/officeDocument/2006/relationships/hyperlink" Target="https://www.audubon.org/field-guide/bird/american-woodcock" TargetMode="External"/><Relationship Id="rId2" Type="http://schemas.openxmlformats.org/officeDocument/2006/relationships/hyperlink" Target="https://explorer.natureserve.org/" TargetMode="External"/><Relationship Id="rId1" Type="http://schemas.openxmlformats.org/officeDocument/2006/relationships/hyperlink" Target="https://explorer.natureserve.org/" TargetMode="External"/><Relationship Id="rId6" Type="http://schemas.openxmlformats.org/officeDocument/2006/relationships/hyperlink" Target="https://explorer.natureserve.org/" TargetMode="External"/><Relationship Id="rId11" Type="http://schemas.openxmlformats.org/officeDocument/2006/relationships/hyperlink" Target="https://www.audubon.org/field-guide/bird/lapland-longspur" TargetMode="External"/><Relationship Id="rId5" Type="http://schemas.openxmlformats.org/officeDocument/2006/relationships/hyperlink" Target="https://explorer.natureserve.org/" TargetMode="External"/><Relationship Id="rId10" Type="http://schemas.openxmlformats.org/officeDocument/2006/relationships/hyperlink" Target="https://www.audubon.org/field-guide/bird/american-woodcock" TargetMode="External"/><Relationship Id="rId4" Type="http://schemas.openxmlformats.org/officeDocument/2006/relationships/hyperlink" Target="https://explorer.natureserve.org/" TargetMode="External"/><Relationship Id="rId9" Type="http://schemas.openxmlformats.org/officeDocument/2006/relationships/hyperlink" Target="https://www.audubon.org/field-guide/bird/lapland-longspur"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8AA2-6305-4A67-AC91-FD5CD148D1E1}">
  <sheetPr>
    <tabColor theme="0"/>
  </sheetPr>
  <dimension ref="A1:H55"/>
  <sheetViews>
    <sheetView tabSelected="1" view="pageBreakPreview" zoomScaleNormal="100" zoomScaleSheetLayoutView="100" workbookViewId="0">
      <selection activeCell="B3" sqref="B3:C3"/>
    </sheetView>
  </sheetViews>
  <sheetFormatPr defaultColWidth="8.77734375" defaultRowHeight="13.2"/>
  <cols>
    <col min="1" max="1" width="16.44140625" style="191" customWidth="1"/>
    <col min="2" max="16384" width="8.77734375" style="191"/>
  </cols>
  <sheetData>
    <row r="1" spans="1:8">
      <c r="A1" s="457" t="s">
        <v>299</v>
      </c>
      <c r="B1" s="457"/>
      <c r="C1" s="457"/>
      <c r="D1" s="457"/>
      <c r="E1" s="457"/>
      <c r="F1" s="457"/>
      <c r="G1" s="457"/>
      <c r="H1" s="457"/>
    </row>
    <row r="2" spans="1:8" ht="13.8">
      <c r="A2" s="2"/>
      <c r="B2" s="2"/>
      <c r="C2" s="2"/>
      <c r="D2" s="193"/>
      <c r="E2" s="193"/>
      <c r="F2" s="193"/>
      <c r="G2" s="193"/>
      <c r="H2" s="193"/>
    </row>
    <row r="3" spans="1:8">
      <c r="A3" s="192" t="s">
        <v>272</v>
      </c>
      <c r="B3" s="458" t="s">
        <v>546</v>
      </c>
      <c r="C3" s="442"/>
    </row>
    <row r="4" spans="1:8">
      <c r="A4" s="192" t="s">
        <v>273</v>
      </c>
      <c r="B4" s="459">
        <v>44273</v>
      </c>
      <c r="C4" s="459"/>
    </row>
    <row r="5" spans="1:8" ht="39.6">
      <c r="A5" s="365" t="s">
        <v>529</v>
      </c>
      <c r="B5" s="461" t="s">
        <v>547</v>
      </c>
      <c r="C5" s="462"/>
      <c r="D5" s="462"/>
      <c r="E5" s="462"/>
      <c r="F5" s="462"/>
      <c r="G5" s="462"/>
      <c r="H5" s="463"/>
    </row>
    <row r="7" spans="1:8">
      <c r="A7" s="446" t="s">
        <v>293</v>
      </c>
      <c r="B7" s="442"/>
      <c r="C7" s="442"/>
      <c r="D7" s="442"/>
      <c r="E7" s="442"/>
      <c r="F7" s="442"/>
      <c r="G7" s="442"/>
      <c r="H7" s="442"/>
    </row>
    <row r="8" spans="1:8">
      <c r="A8" s="442"/>
      <c r="B8" s="442"/>
      <c r="C8" s="442"/>
      <c r="D8" s="442"/>
      <c r="E8" s="442"/>
      <c r="F8" s="442"/>
      <c r="G8" s="442"/>
      <c r="H8" s="442"/>
    </row>
    <row r="9" spans="1:8">
      <c r="A9" s="442"/>
      <c r="B9" s="442"/>
      <c r="C9" s="442"/>
      <c r="D9" s="442"/>
      <c r="E9" s="442"/>
      <c r="F9" s="442"/>
      <c r="G9" s="442"/>
      <c r="H9" s="442"/>
    </row>
    <row r="10" spans="1:8">
      <c r="A10" s="442"/>
      <c r="B10" s="442"/>
      <c r="C10" s="442"/>
      <c r="D10" s="442"/>
      <c r="E10" s="442"/>
      <c r="F10" s="442"/>
      <c r="G10" s="442"/>
      <c r="H10" s="442"/>
    </row>
    <row r="11" spans="1:8">
      <c r="A11" s="442"/>
      <c r="B11" s="442"/>
      <c r="C11" s="442"/>
      <c r="D11" s="442"/>
      <c r="E11" s="442"/>
      <c r="F11" s="442"/>
      <c r="G11" s="442"/>
      <c r="H11" s="442"/>
    </row>
    <row r="12" spans="1:8">
      <c r="A12" s="442"/>
      <c r="B12" s="442"/>
      <c r="C12" s="442"/>
      <c r="D12" s="442"/>
      <c r="E12" s="442"/>
      <c r="F12" s="442"/>
      <c r="G12" s="442"/>
      <c r="H12" s="442"/>
    </row>
    <row r="14" spans="1:8">
      <c r="A14" s="447" t="s">
        <v>379</v>
      </c>
      <c r="B14" s="442"/>
      <c r="C14" s="442"/>
      <c r="D14" s="442"/>
      <c r="E14" s="442"/>
      <c r="F14" s="442"/>
      <c r="G14" s="442"/>
      <c r="H14" s="442"/>
    </row>
    <row r="15" spans="1:8">
      <c r="A15" s="442"/>
      <c r="B15" s="442"/>
      <c r="C15" s="442"/>
      <c r="D15" s="442"/>
      <c r="E15" s="442"/>
      <c r="F15" s="442"/>
      <c r="G15" s="442"/>
      <c r="H15" s="442"/>
    </row>
    <row r="16" spans="1:8">
      <c r="A16" s="442"/>
      <c r="B16" s="442"/>
      <c r="C16" s="442"/>
      <c r="D16" s="442"/>
      <c r="E16" s="442"/>
      <c r="F16" s="442"/>
      <c r="G16" s="442"/>
      <c r="H16" s="442"/>
    </row>
    <row r="17" spans="1:8">
      <c r="A17" s="442"/>
      <c r="B17" s="442"/>
      <c r="C17" s="442"/>
      <c r="D17" s="442"/>
      <c r="E17" s="442"/>
      <c r="F17" s="442"/>
      <c r="G17" s="442"/>
      <c r="H17" s="442"/>
    </row>
    <row r="18" spans="1:8">
      <c r="A18" s="442"/>
      <c r="B18" s="442"/>
      <c r="C18" s="442"/>
      <c r="D18" s="442"/>
      <c r="E18" s="442"/>
      <c r="F18" s="442"/>
      <c r="G18" s="442"/>
      <c r="H18" s="442"/>
    </row>
    <row r="19" spans="1:8">
      <c r="A19" s="442"/>
      <c r="B19" s="442"/>
      <c r="C19" s="442"/>
      <c r="D19" s="442"/>
      <c r="E19" s="442"/>
      <c r="F19" s="442"/>
      <c r="G19" s="442"/>
      <c r="H19" s="442"/>
    </row>
    <row r="20" spans="1:8">
      <c r="A20" s="442"/>
      <c r="B20" s="442"/>
      <c r="C20" s="442"/>
      <c r="D20" s="442"/>
      <c r="E20" s="442"/>
      <c r="F20" s="442"/>
      <c r="G20" s="442"/>
      <c r="H20" s="442"/>
    </row>
    <row r="21" spans="1:8">
      <c r="A21" s="442"/>
      <c r="B21" s="442"/>
      <c r="C21" s="442"/>
      <c r="D21" s="442"/>
      <c r="E21" s="442"/>
      <c r="F21" s="442"/>
      <c r="G21" s="442"/>
      <c r="H21" s="442"/>
    </row>
    <row r="22" spans="1:8">
      <c r="A22" s="442"/>
      <c r="B22" s="442"/>
      <c r="C22" s="442"/>
      <c r="D22" s="442"/>
      <c r="E22" s="442"/>
      <c r="F22" s="442"/>
      <c r="G22" s="442"/>
      <c r="H22" s="442"/>
    </row>
    <row r="23" spans="1:8">
      <c r="A23" s="442"/>
      <c r="B23" s="442"/>
      <c r="C23" s="442"/>
      <c r="D23" s="442"/>
      <c r="E23" s="442"/>
      <c r="F23" s="442"/>
      <c r="G23" s="442"/>
      <c r="H23" s="442"/>
    </row>
    <row r="24" spans="1:8">
      <c r="A24" s="442"/>
      <c r="B24" s="442"/>
      <c r="C24" s="442"/>
      <c r="D24" s="442"/>
      <c r="E24" s="442"/>
      <c r="F24" s="442"/>
      <c r="G24" s="442"/>
      <c r="H24" s="442"/>
    </row>
    <row r="26" spans="1:8">
      <c r="A26" s="449" t="s">
        <v>277</v>
      </c>
      <c r="B26" s="448" t="s">
        <v>505</v>
      </c>
      <c r="C26" s="442"/>
      <c r="D26" s="442"/>
      <c r="E26" s="442"/>
      <c r="F26" s="442"/>
      <c r="G26" s="442"/>
      <c r="H26" s="442"/>
    </row>
    <row r="27" spans="1:8">
      <c r="A27" s="449"/>
      <c r="B27" s="442"/>
      <c r="C27" s="442"/>
      <c r="D27" s="442"/>
      <c r="E27" s="442"/>
      <c r="F27" s="442"/>
      <c r="G27" s="442"/>
      <c r="H27" s="442"/>
    </row>
    <row r="28" spans="1:8">
      <c r="A28" s="449"/>
      <c r="B28" s="442"/>
      <c r="C28" s="442"/>
      <c r="D28" s="442"/>
      <c r="E28" s="442"/>
      <c r="F28" s="442"/>
      <c r="G28" s="442"/>
      <c r="H28" s="442"/>
    </row>
    <row r="29" spans="1:8">
      <c r="A29" s="449"/>
      <c r="B29" s="442"/>
      <c r="C29" s="442"/>
      <c r="D29" s="442"/>
      <c r="E29" s="442"/>
      <c r="F29" s="442"/>
      <c r="G29" s="442"/>
      <c r="H29" s="442"/>
    </row>
    <row r="31" spans="1:8">
      <c r="A31" s="460" t="s">
        <v>278</v>
      </c>
      <c r="B31" s="442" t="s">
        <v>279</v>
      </c>
      <c r="C31" s="442"/>
      <c r="D31" s="442"/>
      <c r="E31" s="442"/>
      <c r="F31" s="442"/>
      <c r="G31" s="442"/>
      <c r="H31" s="442"/>
    </row>
    <row r="32" spans="1:8">
      <c r="A32" s="460"/>
      <c r="B32" s="442"/>
      <c r="C32" s="442"/>
      <c r="D32" s="442"/>
      <c r="E32" s="442"/>
      <c r="F32" s="442"/>
      <c r="G32" s="442"/>
      <c r="H32" s="442"/>
    </row>
    <row r="33" spans="1:8">
      <c r="A33" s="460"/>
      <c r="B33" s="442"/>
      <c r="C33" s="442"/>
      <c r="D33" s="442"/>
      <c r="E33" s="442"/>
      <c r="F33" s="442"/>
      <c r="G33" s="442"/>
      <c r="H33" s="442"/>
    </row>
    <row r="34" spans="1:8">
      <c r="A34" s="460"/>
      <c r="B34" s="442"/>
      <c r="C34" s="442"/>
      <c r="D34" s="442"/>
      <c r="E34" s="442"/>
      <c r="F34" s="442"/>
      <c r="G34" s="442"/>
      <c r="H34" s="442"/>
    </row>
    <row r="36" spans="1:8" ht="13.05" customHeight="1">
      <c r="A36" s="449" t="s">
        <v>276</v>
      </c>
      <c r="B36" s="449"/>
      <c r="C36" s="449"/>
      <c r="D36" s="449"/>
      <c r="E36" s="450" t="s">
        <v>275</v>
      </c>
      <c r="F36" s="450"/>
      <c r="G36" s="450"/>
      <c r="H36" s="450"/>
    </row>
    <row r="37" spans="1:8">
      <c r="A37" s="449"/>
      <c r="B37" s="449"/>
      <c r="C37" s="449"/>
      <c r="D37" s="449"/>
      <c r="E37" s="450"/>
      <c r="F37" s="450"/>
      <c r="G37" s="450"/>
      <c r="H37" s="450"/>
    </row>
    <row r="39" spans="1:8" ht="14.55" customHeight="1">
      <c r="A39" s="449" t="s">
        <v>280</v>
      </c>
      <c r="B39" s="449"/>
      <c r="C39" s="449"/>
      <c r="D39" s="449"/>
      <c r="E39" s="451" t="s">
        <v>281</v>
      </c>
      <c r="F39" s="452"/>
      <c r="G39" s="452"/>
      <c r="H39" s="453"/>
    </row>
    <row r="40" spans="1:8" ht="14.55" customHeight="1">
      <c r="A40" s="449"/>
      <c r="B40" s="449"/>
      <c r="C40" s="449"/>
      <c r="D40" s="449"/>
      <c r="E40" s="454" t="s">
        <v>282</v>
      </c>
      <c r="F40" s="455"/>
      <c r="G40" s="455"/>
      <c r="H40" s="456"/>
    </row>
    <row r="42" spans="1:8">
      <c r="A42" s="443" t="s">
        <v>274</v>
      </c>
      <c r="B42" s="444"/>
      <c r="C42" s="444"/>
      <c r="D42" s="444"/>
      <c r="E42" s="444"/>
      <c r="F42" s="444"/>
      <c r="G42" s="444"/>
      <c r="H42" s="445"/>
    </row>
    <row r="43" spans="1:8">
      <c r="A43" s="442" t="s">
        <v>283</v>
      </c>
      <c r="B43" s="442"/>
      <c r="C43" s="442"/>
      <c r="D43" s="442"/>
      <c r="E43" s="442"/>
      <c r="F43" s="442"/>
      <c r="G43" s="442"/>
      <c r="H43" s="442"/>
    </row>
    <row r="44" spans="1:8">
      <c r="A44" s="442"/>
      <c r="B44" s="442"/>
      <c r="C44" s="442"/>
      <c r="D44" s="442"/>
      <c r="E44" s="442"/>
      <c r="F44" s="442"/>
      <c r="G44" s="442"/>
      <c r="H44" s="442"/>
    </row>
    <row r="45" spans="1:8">
      <c r="A45" s="442"/>
      <c r="B45" s="442"/>
      <c r="C45" s="442"/>
      <c r="D45" s="442"/>
      <c r="E45" s="442"/>
      <c r="F45" s="442"/>
      <c r="G45" s="442"/>
      <c r="H45" s="442"/>
    </row>
    <row r="46" spans="1:8">
      <c r="A46" s="442"/>
      <c r="B46" s="442"/>
      <c r="C46" s="442"/>
      <c r="D46" s="442"/>
      <c r="E46" s="442"/>
      <c r="F46" s="442"/>
      <c r="G46" s="442"/>
      <c r="H46" s="442"/>
    </row>
    <row r="47" spans="1:8">
      <c r="A47" s="442"/>
      <c r="B47" s="442"/>
      <c r="C47" s="442"/>
      <c r="D47" s="442"/>
      <c r="E47" s="442"/>
      <c r="F47" s="442"/>
      <c r="G47" s="442"/>
      <c r="H47" s="442"/>
    </row>
    <row r="48" spans="1:8">
      <c r="A48" s="442"/>
      <c r="B48" s="442"/>
      <c r="C48" s="442"/>
      <c r="D48" s="442"/>
      <c r="E48" s="442"/>
      <c r="F48" s="442"/>
      <c r="G48" s="442"/>
      <c r="H48" s="442"/>
    </row>
    <row r="49" spans="1:8">
      <c r="A49" s="442"/>
      <c r="B49" s="442"/>
      <c r="C49" s="442"/>
      <c r="D49" s="442"/>
      <c r="E49" s="442"/>
      <c r="F49" s="442"/>
      <c r="G49" s="442"/>
      <c r="H49" s="442"/>
    </row>
    <row r="50" spans="1:8">
      <c r="A50" s="442"/>
      <c r="B50" s="442"/>
      <c r="C50" s="442"/>
      <c r="D50" s="442"/>
      <c r="E50" s="442"/>
      <c r="F50" s="442"/>
      <c r="G50" s="442"/>
      <c r="H50" s="442"/>
    </row>
    <row r="51" spans="1:8">
      <c r="A51" s="442"/>
      <c r="B51" s="442"/>
      <c r="C51" s="442"/>
      <c r="D51" s="442"/>
      <c r="E51" s="442"/>
      <c r="F51" s="442"/>
      <c r="G51" s="442"/>
      <c r="H51" s="442"/>
    </row>
    <row r="52" spans="1:8">
      <c r="A52" s="442"/>
      <c r="B52" s="442"/>
      <c r="C52" s="442"/>
      <c r="D52" s="442"/>
      <c r="E52" s="442"/>
      <c r="F52" s="442"/>
      <c r="G52" s="442"/>
      <c r="H52" s="442"/>
    </row>
    <row r="53" spans="1:8">
      <c r="A53" s="442"/>
      <c r="B53" s="442"/>
      <c r="C53" s="442"/>
      <c r="D53" s="442"/>
      <c r="E53" s="442"/>
      <c r="F53" s="442"/>
      <c r="G53" s="442"/>
      <c r="H53" s="442"/>
    </row>
    <row r="54" spans="1:8">
      <c r="A54" s="442"/>
      <c r="B54" s="442"/>
      <c r="C54" s="442"/>
      <c r="D54" s="442"/>
      <c r="E54" s="442"/>
      <c r="F54" s="442"/>
      <c r="G54" s="442"/>
      <c r="H54" s="442"/>
    </row>
    <row r="55" spans="1:8">
      <c r="A55" s="442"/>
      <c r="B55" s="442"/>
      <c r="C55" s="442"/>
      <c r="D55" s="442"/>
      <c r="E55" s="442"/>
      <c r="F55" s="442"/>
      <c r="G55" s="442"/>
      <c r="H55" s="442"/>
    </row>
  </sheetData>
  <mergeCells count="17">
    <mergeCell ref="A1:H1"/>
    <mergeCell ref="B3:C3"/>
    <mergeCell ref="B4:C4"/>
    <mergeCell ref="A31:A34"/>
    <mergeCell ref="B31:H34"/>
    <mergeCell ref="B5:H5"/>
    <mergeCell ref="A43:H55"/>
    <mergeCell ref="A42:H42"/>
    <mergeCell ref="A7:H12"/>
    <mergeCell ref="A14:H24"/>
    <mergeCell ref="B26:H29"/>
    <mergeCell ref="A26:A29"/>
    <mergeCell ref="A36:D37"/>
    <mergeCell ref="E36:H37"/>
    <mergeCell ref="A39:D40"/>
    <mergeCell ref="E39:H39"/>
    <mergeCell ref="E40:H40"/>
  </mergeCells>
  <hyperlinks>
    <hyperlink ref="E36" r:id="rId1" xr:uid="{A46305A6-3407-43D1-BE1F-13988F3D00FB}"/>
    <hyperlink ref="E40" r:id="rId2" xr:uid="{60970240-D08E-4244-9422-C9C7E1119D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B1:K46"/>
  <sheetViews>
    <sheetView view="pageBreakPreview" zoomScale="85" zoomScaleNormal="100" zoomScaleSheetLayoutView="85" zoomScalePageLayoutView="85" workbookViewId="0">
      <selection activeCell="B5" sqref="B5:B6"/>
    </sheetView>
  </sheetViews>
  <sheetFormatPr defaultColWidth="9.21875" defaultRowHeight="14.4"/>
  <cols>
    <col min="1" max="1" width="3.44140625" style="14" customWidth="1"/>
    <col min="2" max="2" width="29.44140625" style="14" customWidth="1"/>
    <col min="3" max="3" width="15.21875" style="14" customWidth="1"/>
    <col min="4" max="4" width="12.77734375" style="14" bestFit="1" customWidth="1"/>
    <col min="5" max="5" width="13.21875" style="14" bestFit="1" customWidth="1"/>
    <col min="6" max="6" width="14.5546875" style="14" customWidth="1"/>
    <col min="7" max="7" width="12.21875" style="14" customWidth="1"/>
    <col min="8" max="8" width="17.77734375" style="14" bestFit="1" customWidth="1"/>
    <col min="9" max="9" width="14.5546875" style="14" customWidth="1"/>
    <col min="12" max="12" width="3.44140625" style="14" customWidth="1"/>
    <col min="13" max="16384" width="9.21875" style="14"/>
  </cols>
  <sheetData>
    <row r="1" spans="2:9">
      <c r="D1" s="233"/>
      <c r="E1" s="233"/>
    </row>
    <row r="2" spans="2:9">
      <c r="B2" s="15" t="str">
        <f>Site</f>
        <v>Test Site #1</v>
      </c>
    </row>
    <row r="3" spans="2:9">
      <c r="B3" s="15" t="str">
        <f>Title5</f>
        <v>Table 7: Direct Contact Exposures Assessment and Hazard Characterization</v>
      </c>
    </row>
    <row r="4" spans="2:9">
      <c r="B4" s="15"/>
    </row>
    <row r="5" spans="2:9" s="40" customFormat="1" ht="46.5" customHeight="1">
      <c r="B5" s="473" t="s">
        <v>52</v>
      </c>
      <c r="C5" s="484" t="s">
        <v>418</v>
      </c>
      <c r="D5" s="481" t="s">
        <v>421</v>
      </c>
      <c r="E5" s="482"/>
      <c r="F5" s="483"/>
      <c r="G5" s="481" t="s">
        <v>420</v>
      </c>
      <c r="H5" s="482"/>
      <c r="I5" s="483"/>
    </row>
    <row r="6" spans="2:9" ht="25.5" customHeight="1">
      <c r="B6" s="479"/>
      <c r="C6" s="485"/>
      <c r="D6" s="130" t="s">
        <v>534</v>
      </c>
      <c r="E6" s="299" t="s">
        <v>473</v>
      </c>
      <c r="F6" s="242" t="s">
        <v>423</v>
      </c>
      <c r="G6" s="369" t="s">
        <v>534</v>
      </c>
      <c r="H6" s="299" t="s">
        <v>473</v>
      </c>
      <c r="I6" s="242" t="s">
        <v>423</v>
      </c>
    </row>
    <row r="7" spans="2:9">
      <c r="B7" s="202" t="s">
        <v>75</v>
      </c>
      <c r="C7" s="109"/>
      <c r="D7" s="254"/>
      <c r="E7" s="254"/>
      <c r="F7" s="254"/>
      <c r="G7" s="254"/>
      <c r="H7" s="254"/>
      <c r="I7" s="397"/>
    </row>
    <row r="8" spans="2:9">
      <c r="B8" s="107" t="s">
        <v>59</v>
      </c>
      <c r="C8" s="424">
        <f>S_PFBA</f>
        <v>1000</v>
      </c>
      <c r="D8" s="400" t="s">
        <v>0</v>
      </c>
      <c r="E8" s="425"/>
      <c r="F8" s="96" t="str">
        <f>IF(OR($C8=0,ISTEXT(D8)),"--",$C8/D8)</f>
        <v>--</v>
      </c>
      <c r="G8" s="400" t="s">
        <v>0</v>
      </c>
      <c r="H8" s="108"/>
      <c r="I8" s="96" t="str">
        <f t="shared" ref="I8:I18" si="0">IF(OR($C8=0,ISTEXT(G8)),"--",$C8/G8)</f>
        <v>--</v>
      </c>
    </row>
    <row r="9" spans="2:9">
      <c r="B9" s="27" t="s">
        <v>60</v>
      </c>
      <c r="C9" s="421">
        <f>S_PFPeA</f>
        <v>1000</v>
      </c>
      <c r="D9" s="400" t="s">
        <v>0</v>
      </c>
      <c r="E9" s="426"/>
      <c r="F9" s="96" t="str">
        <f t="shared" ref="F9:F18" si="1">IF(OR($C9=0,ISTEXT(D9)),"--",$C9/D9)</f>
        <v>--</v>
      </c>
      <c r="G9" s="400" t="s">
        <v>0</v>
      </c>
      <c r="H9" s="108"/>
      <c r="I9" s="96" t="str">
        <f t="shared" si="0"/>
        <v>--</v>
      </c>
    </row>
    <row r="10" spans="2:9">
      <c r="B10" s="27" t="s">
        <v>61</v>
      </c>
      <c r="C10" s="421">
        <f>S_PFHxA</f>
        <v>2000</v>
      </c>
      <c r="D10" s="400" t="s">
        <v>0</v>
      </c>
      <c r="E10" s="426"/>
      <c r="F10" s="96" t="str">
        <f t="shared" si="1"/>
        <v>--</v>
      </c>
      <c r="G10" s="400" t="s">
        <v>0</v>
      </c>
      <c r="H10" s="108"/>
      <c r="I10" s="96" t="str">
        <f t="shared" si="0"/>
        <v>--</v>
      </c>
    </row>
    <row r="11" spans="2:9">
      <c r="B11" s="27" t="s">
        <v>62</v>
      </c>
      <c r="C11" s="421">
        <f>S_PFHpA</f>
        <v>2000</v>
      </c>
      <c r="D11" s="400" t="s">
        <v>0</v>
      </c>
      <c r="E11" s="426"/>
      <c r="F11" s="96" t="str">
        <f t="shared" si="1"/>
        <v>--</v>
      </c>
      <c r="G11" s="400" t="s">
        <v>0</v>
      </c>
      <c r="H11" s="108"/>
      <c r="I11" s="96" t="str">
        <f t="shared" si="0"/>
        <v>--</v>
      </c>
    </row>
    <row r="12" spans="2:9">
      <c r="B12" s="42" t="s">
        <v>38</v>
      </c>
      <c r="C12" s="421">
        <f>S_PFOA</f>
        <v>3000</v>
      </c>
      <c r="D12" s="400">
        <v>10000000</v>
      </c>
      <c r="E12" s="427" t="s">
        <v>474</v>
      </c>
      <c r="F12" s="96">
        <f t="shared" si="1"/>
        <v>2.9999999999999997E-4</v>
      </c>
      <c r="G12" s="400">
        <v>84000000</v>
      </c>
      <c r="H12" s="306" t="s">
        <v>405</v>
      </c>
      <c r="I12" s="96">
        <f t="shared" si="0"/>
        <v>3.5714285714285717E-5</v>
      </c>
    </row>
    <row r="13" spans="2:9">
      <c r="B13" s="27" t="s">
        <v>63</v>
      </c>
      <c r="C13" s="421">
        <f>S_PFNA</f>
        <v>3000</v>
      </c>
      <c r="D13" s="400" t="s">
        <v>0</v>
      </c>
      <c r="E13" s="426"/>
      <c r="F13" s="96" t="str">
        <f t="shared" si="1"/>
        <v>--</v>
      </c>
      <c r="G13" s="400" t="s">
        <v>0</v>
      </c>
      <c r="H13" s="108"/>
      <c r="I13" s="96" t="str">
        <f t="shared" si="0"/>
        <v>--</v>
      </c>
    </row>
    <row r="14" spans="2:9">
      <c r="B14" s="27" t="s">
        <v>64</v>
      </c>
      <c r="C14" s="421">
        <f>S_PFDA</f>
        <v>4000</v>
      </c>
      <c r="D14" s="400" t="s">
        <v>0</v>
      </c>
      <c r="E14" s="426"/>
      <c r="F14" s="96" t="str">
        <f t="shared" si="1"/>
        <v>--</v>
      </c>
      <c r="G14" s="400" t="s">
        <v>0</v>
      </c>
      <c r="H14" s="108"/>
      <c r="I14" s="96" t="str">
        <f t="shared" si="0"/>
        <v>--</v>
      </c>
    </row>
    <row r="15" spans="2:9">
      <c r="B15" s="27" t="s">
        <v>65</v>
      </c>
      <c r="C15" s="421">
        <f>S_PFUnDA</f>
        <v>4000</v>
      </c>
      <c r="D15" s="400" t="s">
        <v>0</v>
      </c>
      <c r="E15" s="426"/>
      <c r="F15" s="96" t="str">
        <f t="shared" si="1"/>
        <v>--</v>
      </c>
      <c r="G15" s="400" t="s">
        <v>0</v>
      </c>
      <c r="H15" s="108"/>
      <c r="I15" s="96" t="str">
        <f t="shared" si="0"/>
        <v>--</v>
      </c>
    </row>
    <row r="16" spans="2:9">
      <c r="B16" s="27" t="s">
        <v>66</v>
      </c>
      <c r="C16" s="421">
        <f>S_PFDoDA</f>
        <v>5000</v>
      </c>
      <c r="D16" s="400" t="s">
        <v>0</v>
      </c>
      <c r="E16" s="426"/>
      <c r="F16" s="96" t="str">
        <f t="shared" si="1"/>
        <v>--</v>
      </c>
      <c r="G16" s="400" t="s">
        <v>0</v>
      </c>
      <c r="H16" s="108"/>
      <c r="I16" s="96" t="str">
        <f t="shared" si="0"/>
        <v>--</v>
      </c>
    </row>
    <row r="17" spans="2:9" ht="13.5" customHeight="1">
      <c r="B17" s="27" t="s">
        <v>67</v>
      </c>
      <c r="C17" s="421">
        <f>S_PFTrDA</f>
        <v>5000</v>
      </c>
      <c r="D17" s="400" t="s">
        <v>0</v>
      </c>
      <c r="E17" s="426"/>
      <c r="F17" s="96" t="str">
        <f t="shared" si="1"/>
        <v>--</v>
      </c>
      <c r="G17" s="400" t="s">
        <v>0</v>
      </c>
      <c r="H17" s="108"/>
      <c r="I17" s="96" t="str">
        <f t="shared" si="0"/>
        <v>--</v>
      </c>
    </row>
    <row r="18" spans="2:9" ht="13.5" customHeight="1">
      <c r="B18" s="27" t="s">
        <v>68</v>
      </c>
      <c r="C18" s="421">
        <f>S_PFTeDA</f>
        <v>6000</v>
      </c>
      <c r="D18" s="400" t="s">
        <v>0</v>
      </c>
      <c r="E18" s="426"/>
      <c r="F18" s="96" t="str">
        <f t="shared" si="1"/>
        <v>--</v>
      </c>
      <c r="G18" s="400" t="s">
        <v>0</v>
      </c>
      <c r="H18" s="108"/>
      <c r="I18" s="96" t="str">
        <f t="shared" si="0"/>
        <v>--</v>
      </c>
    </row>
    <row r="19" spans="2:9">
      <c r="B19" s="202" t="s">
        <v>76</v>
      </c>
      <c r="C19" s="411"/>
      <c r="D19" s="428"/>
      <c r="E19" s="428"/>
      <c r="F19" s="194"/>
      <c r="G19" s="428"/>
      <c r="H19" s="110"/>
      <c r="I19" s="398"/>
    </row>
    <row r="20" spans="2:9">
      <c r="B20" s="27" t="s">
        <v>69</v>
      </c>
      <c r="C20" s="421">
        <f>S_PFBS</f>
        <v>1000</v>
      </c>
      <c r="D20" s="400" t="s">
        <v>0</v>
      </c>
      <c r="E20" s="429"/>
      <c r="F20" s="96" t="str">
        <f t="shared" ref="F20:F23" si="2">IF(OR($C20=0,ISTEXT(D20)),"--",$C20/D20)</f>
        <v>--</v>
      </c>
      <c r="G20" s="400" t="s">
        <v>0</v>
      </c>
      <c r="H20" s="41"/>
      <c r="I20" s="96" t="str">
        <f t="shared" ref="I20:I23" si="3">IF(OR($C20=0,ISTEXT(G20)),"--",$C20/G20)</f>
        <v>--</v>
      </c>
    </row>
    <row r="21" spans="2:9">
      <c r="B21" s="27" t="s">
        <v>70</v>
      </c>
      <c r="C21" s="421">
        <f>S_PFHxS</f>
        <v>2000</v>
      </c>
      <c r="D21" s="400" t="s">
        <v>0</v>
      </c>
      <c r="E21" s="429"/>
      <c r="F21" s="96" t="str">
        <f t="shared" si="2"/>
        <v>--</v>
      </c>
      <c r="G21" s="400" t="s">
        <v>0</v>
      </c>
      <c r="H21" s="41"/>
      <c r="I21" s="96" t="str">
        <f t="shared" si="3"/>
        <v>--</v>
      </c>
    </row>
    <row r="22" spans="2:9">
      <c r="B22" s="42" t="s">
        <v>37</v>
      </c>
      <c r="C22" s="421">
        <f>S_PFOS</f>
        <v>3000</v>
      </c>
      <c r="D22" s="400">
        <v>80000000</v>
      </c>
      <c r="E22" s="430" t="s">
        <v>476</v>
      </c>
      <c r="F22" s="96">
        <f t="shared" si="2"/>
        <v>3.7499999999999997E-5</v>
      </c>
      <c r="G22" s="400">
        <v>3900000</v>
      </c>
      <c r="H22" s="307" t="s">
        <v>475</v>
      </c>
      <c r="I22" s="96">
        <f t="shared" si="3"/>
        <v>7.6923076923076923E-4</v>
      </c>
    </row>
    <row r="23" spans="2:9">
      <c r="B23" s="27" t="s">
        <v>71</v>
      </c>
      <c r="C23" s="421">
        <f>S_PFDS</f>
        <v>1000</v>
      </c>
      <c r="D23" s="400" t="s">
        <v>0</v>
      </c>
      <c r="E23" s="429"/>
      <c r="F23" s="96" t="str">
        <f t="shared" si="2"/>
        <v>--</v>
      </c>
      <c r="G23" s="400" t="s">
        <v>0</v>
      </c>
      <c r="H23" s="41"/>
      <c r="I23" s="96" t="str">
        <f t="shared" si="3"/>
        <v>--</v>
      </c>
    </row>
    <row r="24" spans="2:9">
      <c r="B24" s="202" t="s">
        <v>77</v>
      </c>
      <c r="C24" s="411"/>
      <c r="D24" s="428"/>
      <c r="E24" s="428"/>
      <c r="F24" s="111"/>
      <c r="G24" s="428"/>
      <c r="H24" s="110"/>
      <c r="I24" s="399"/>
    </row>
    <row r="25" spans="2:9">
      <c r="B25" s="27" t="s">
        <v>72</v>
      </c>
      <c r="C25" s="421">
        <f>S_PFOSA</f>
        <v>1000</v>
      </c>
      <c r="D25" s="400" t="s">
        <v>0</v>
      </c>
      <c r="E25" s="426"/>
      <c r="F25" s="96" t="str">
        <f>IF(OR($C25=0,ISTEXT(D25)),"--",$C25/D25)</f>
        <v>--</v>
      </c>
      <c r="G25" s="400" t="s">
        <v>0</v>
      </c>
      <c r="H25" s="108"/>
      <c r="I25" s="96" t="str">
        <f t="shared" ref="I25" si="4">IF(OR($C25=0,ISTEXT(G25)),"--",$C25/G25)</f>
        <v>--</v>
      </c>
    </row>
    <row r="26" spans="2:9">
      <c r="B26" s="202" t="s">
        <v>78</v>
      </c>
      <c r="C26" s="411"/>
      <c r="D26" s="428"/>
      <c r="E26" s="428"/>
      <c r="F26" s="111"/>
      <c r="G26" s="428"/>
      <c r="H26" s="110"/>
      <c r="I26" s="399"/>
    </row>
    <row r="27" spans="2:9">
      <c r="B27" s="42" t="s">
        <v>73</v>
      </c>
      <c r="C27" s="421">
        <f>S_NEtFOSAA</f>
        <v>1000</v>
      </c>
      <c r="D27" s="400" t="s">
        <v>0</v>
      </c>
      <c r="E27" s="426"/>
      <c r="F27" s="96" t="str">
        <f t="shared" ref="F27:F28" si="5">IF(OR($C27=0,ISTEXT(D27)),"--",$C27/D27)</f>
        <v>--</v>
      </c>
      <c r="G27" s="400" t="s">
        <v>0</v>
      </c>
      <c r="H27" s="108"/>
      <c r="I27" s="96" t="str">
        <f t="shared" ref="I27:I28" si="6">IF(OR($C27=0,ISTEXT(G27)),"--",$C27/G27)</f>
        <v>--</v>
      </c>
    </row>
    <row r="28" spans="2:9">
      <c r="B28" s="29" t="s">
        <v>74</v>
      </c>
      <c r="C28" s="421">
        <f>S_NMeFOSAA</f>
        <v>1000</v>
      </c>
      <c r="D28" s="400" t="s">
        <v>0</v>
      </c>
      <c r="E28" s="426"/>
      <c r="F28" s="96" t="str">
        <f t="shared" si="5"/>
        <v>--</v>
      </c>
      <c r="G28" s="400" t="s">
        <v>0</v>
      </c>
      <c r="H28" s="108"/>
      <c r="I28" s="96" t="str">
        <f t="shared" si="6"/>
        <v>--</v>
      </c>
    </row>
    <row r="29" spans="2:9">
      <c r="B29" s="43"/>
      <c r="C29" s="43"/>
      <c r="D29" s="43"/>
      <c r="E29" s="43"/>
      <c r="F29" s="43"/>
      <c r="G29" s="43"/>
      <c r="H29" s="43"/>
      <c r="I29" s="43"/>
    </row>
    <row r="30" spans="2:9">
      <c r="B30" s="30" t="s">
        <v>422</v>
      </c>
    </row>
    <row r="31" spans="2:9">
      <c r="B31" s="262" t="s">
        <v>425</v>
      </c>
      <c r="C31" s="24"/>
      <c r="D31" s="24"/>
      <c r="E31" s="24"/>
      <c r="G31" s="24"/>
      <c r="H31" s="24"/>
      <c r="I31" s="24"/>
    </row>
    <row r="32" spans="2:9">
      <c r="B32" s="47" t="s">
        <v>48</v>
      </c>
      <c r="C32" s="24"/>
      <c r="D32" s="24"/>
      <c r="E32" s="24"/>
      <c r="G32" s="24"/>
      <c r="H32" s="24"/>
      <c r="I32" s="24"/>
    </row>
    <row r="33" spans="2:7">
      <c r="B33" s="47" t="s">
        <v>163</v>
      </c>
      <c r="C33" s="45"/>
      <c r="G33" s="401"/>
    </row>
    <row r="34" spans="2:7">
      <c r="B34" s="346" t="s">
        <v>504</v>
      </c>
      <c r="C34" s="46"/>
      <c r="G34" s="401"/>
    </row>
    <row r="35" spans="2:7">
      <c r="B35" s="261" t="s">
        <v>424</v>
      </c>
      <c r="C35" s="47"/>
    </row>
    <row r="36" spans="2:7">
      <c r="C36" s="45"/>
    </row>
    <row r="37" spans="2:7">
      <c r="C37" s="48"/>
    </row>
    <row r="38" spans="2:7">
      <c r="B38" s="49"/>
      <c r="C38" s="45"/>
    </row>
    <row r="39" spans="2:7">
      <c r="B39" s="49"/>
      <c r="C39" s="45"/>
    </row>
    <row r="40" spans="2:7">
      <c r="B40" s="47"/>
      <c r="C40" s="45"/>
    </row>
    <row r="41" spans="2:7">
      <c r="B41" s="49"/>
      <c r="C41" s="45"/>
    </row>
    <row r="42" spans="2:7">
      <c r="B42" s="47"/>
      <c r="C42" s="45"/>
    </row>
    <row r="43" spans="2:7">
      <c r="B43" s="15"/>
      <c r="C43" s="45"/>
    </row>
    <row r="44" spans="2:7">
      <c r="B44" s="16"/>
      <c r="C44" s="45"/>
    </row>
    <row r="45" spans="2:7">
      <c r="B45" s="16"/>
      <c r="C45" s="45"/>
    </row>
    <row r="46" spans="2:7">
      <c r="B46" s="16"/>
    </row>
  </sheetData>
  <mergeCells count="4">
    <mergeCell ref="D5:F5"/>
    <mergeCell ref="B5:B6"/>
    <mergeCell ref="C5:C6"/>
    <mergeCell ref="G5:I5"/>
  </mergeCells>
  <conditionalFormatting sqref="I8:I18 I20:I23 I25 I27:I28">
    <cfRule type="expression" dxfId="241" priority="19">
      <formula>AND(ISNUMBER(I8),I8&gt;1)</formula>
    </cfRule>
  </conditionalFormatting>
  <conditionalFormatting sqref="F8:F18 F20:F23">
    <cfRule type="expression" dxfId="240" priority="18">
      <formula>AND(ISNUMBER(F8),F8&gt;1)</formula>
    </cfRule>
  </conditionalFormatting>
  <conditionalFormatting sqref="F22:F23">
    <cfRule type="expression" dxfId="239" priority="13">
      <formula>AND(ISNUMBER(F22),F22&gt;1)</formula>
    </cfRule>
  </conditionalFormatting>
  <conditionalFormatting sqref="F25">
    <cfRule type="expression" dxfId="238" priority="12">
      <formula>AND(ISNUMBER(F25),F25&gt;1)</formula>
    </cfRule>
  </conditionalFormatting>
  <conditionalFormatting sqref="F27:F28">
    <cfRule type="expression" dxfId="237" priority="11">
      <formula>AND(ISNUMBER(F27),F27&gt;1)</formula>
    </cfRule>
  </conditionalFormatting>
  <conditionalFormatting sqref="F8:F28 I8:I28">
    <cfRule type="cellIs" dxfId="236" priority="10" operator="equal">
      <formula>0</formula>
    </cfRule>
  </conditionalFormatting>
  <conditionalFormatting sqref="F25">
    <cfRule type="expression" dxfId="235" priority="9">
      <formula>AND(ISNUMBER(F25),F25&gt;1)</formula>
    </cfRule>
  </conditionalFormatting>
  <conditionalFormatting sqref="F27:F28">
    <cfRule type="expression" dxfId="234" priority="8">
      <formula>AND(ISNUMBER(F27),F27&gt;1)</formula>
    </cfRule>
  </conditionalFormatting>
  <conditionalFormatting sqref="C8:C28">
    <cfRule type="cellIs" dxfId="233" priority="7" operator="equal">
      <formula>0</formula>
    </cfRule>
  </conditionalFormatting>
  <conditionalFormatting sqref="I8:I18">
    <cfRule type="expression" dxfId="232" priority="6">
      <formula>AND(ISNUMBER(I8),I8&gt;1)</formula>
    </cfRule>
  </conditionalFormatting>
  <conditionalFormatting sqref="I20:I22">
    <cfRule type="expression" dxfId="231" priority="5">
      <formula>AND(ISNUMBER(I20),I20&gt;1)</formula>
    </cfRule>
  </conditionalFormatting>
  <conditionalFormatting sqref="I23">
    <cfRule type="expression" dxfId="230" priority="4">
      <formula>AND(ISNUMBER(I23),I23&gt;1)</formula>
    </cfRule>
  </conditionalFormatting>
  <conditionalFormatting sqref="I25">
    <cfRule type="expression" dxfId="229" priority="3">
      <formula>AND(ISNUMBER(I25),I25&gt;1)</formula>
    </cfRule>
  </conditionalFormatting>
  <conditionalFormatting sqref="I27">
    <cfRule type="expression" dxfId="228" priority="2">
      <formula>AND(ISNUMBER(I27),I27&gt;1)</formula>
    </cfRule>
  </conditionalFormatting>
  <conditionalFormatting sqref="I28">
    <cfRule type="expression" dxfId="227" priority="1">
      <formula>AND(ISNUMBER(I28),I28&gt;1)</formula>
    </cfRule>
  </conditionalFormatting>
  <printOptions horizontalCentered="1"/>
  <pageMargins left="0.7" right="0.7" top="0.75" bottom="0.75" header="0.3" footer="0.3"/>
  <pageSetup scale="68" orientation="portrait" verticalDpi="1200" r:id="rId1"/>
  <headerFoot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B1:T60"/>
  <sheetViews>
    <sheetView view="pageBreakPreview" zoomScale="85" zoomScaleNormal="100" zoomScaleSheetLayoutView="85" zoomScalePageLayoutView="85" workbookViewId="0">
      <selection activeCell="B6" sqref="B6:B8"/>
    </sheetView>
  </sheetViews>
  <sheetFormatPr defaultColWidth="9.21875" defaultRowHeight="13.2" outlineLevelCol="1"/>
  <cols>
    <col min="1" max="1" width="1.77734375" style="14" customWidth="1"/>
    <col min="2" max="2" width="25.21875" style="14" customWidth="1"/>
    <col min="3" max="3" width="9.21875" style="14" customWidth="1"/>
    <col min="4" max="4" width="10" style="14" bestFit="1" customWidth="1"/>
    <col min="5" max="5" width="10.77734375" style="14" customWidth="1"/>
    <col min="6" max="7" width="12.44140625" style="14" customWidth="1" outlineLevel="1"/>
    <col min="8" max="8" width="11" style="14" customWidth="1"/>
    <col min="9" max="10" width="12.44140625" style="14" customWidth="1"/>
    <col min="11" max="11" width="11" style="14" customWidth="1"/>
    <col min="12" max="12" width="12" style="14" customWidth="1"/>
    <col min="13" max="17" width="11" style="14" customWidth="1"/>
    <col min="18" max="19" width="14.21875" style="14" customWidth="1" outlineLevel="1"/>
    <col min="20" max="20" width="14.21875" style="14" customWidth="1"/>
    <col min="21" max="21" width="3.21875" style="14" customWidth="1"/>
    <col min="22" max="16384" width="9.21875" style="14"/>
  </cols>
  <sheetData>
    <row r="1" spans="2:20">
      <c r="B1" s="15"/>
      <c r="C1" s="15"/>
    </row>
    <row r="2" spans="2:20">
      <c r="B2" s="34" t="str">
        <f>Site</f>
        <v>Test Site #1</v>
      </c>
      <c r="C2" s="15"/>
    </row>
    <row r="3" spans="2:20">
      <c r="B3" s="50" t="str">
        <f>Title8</f>
        <v>Table 8: Exposure Assessment and Hazard Characterization</v>
      </c>
      <c r="C3" s="15"/>
    </row>
    <row r="4" spans="2:20">
      <c r="B4" s="15" t="s">
        <v>28</v>
      </c>
      <c r="C4" s="93" t="str">
        <f>Bird1</f>
        <v>Willow Ptarmigan</v>
      </c>
      <c r="F4" s="15"/>
      <c r="G4" s="15"/>
      <c r="H4" s="15"/>
      <c r="I4" s="15"/>
      <c r="J4" s="15"/>
      <c r="K4" s="15"/>
      <c r="L4" s="15"/>
    </row>
    <row r="5" spans="2:20">
      <c r="B5" s="15"/>
      <c r="C5" s="93"/>
      <c r="F5" s="15"/>
      <c r="G5" s="278"/>
      <c r="H5" s="15"/>
      <c r="I5" s="15"/>
      <c r="J5" s="15"/>
      <c r="K5" s="15"/>
      <c r="L5" s="15"/>
    </row>
    <row r="6" spans="2:20" ht="23.25" customHeight="1">
      <c r="B6" s="492" t="s">
        <v>52</v>
      </c>
      <c r="C6" s="495" t="s">
        <v>17</v>
      </c>
      <c r="D6" s="496" t="s">
        <v>369</v>
      </c>
      <c r="E6" s="490"/>
      <c r="F6" s="490" t="s">
        <v>432</v>
      </c>
      <c r="G6" s="490"/>
      <c r="H6" s="490" t="s">
        <v>370</v>
      </c>
      <c r="I6" s="490"/>
      <c r="J6" s="490" t="s">
        <v>372</v>
      </c>
      <c r="K6" s="490"/>
      <c r="L6" s="486" t="s">
        <v>374</v>
      </c>
      <c r="M6" s="486" t="s">
        <v>374</v>
      </c>
      <c r="N6" s="486" t="s">
        <v>84</v>
      </c>
      <c r="O6" s="488" t="s">
        <v>83</v>
      </c>
      <c r="P6" s="486" t="s">
        <v>380</v>
      </c>
      <c r="Q6" s="486" t="s">
        <v>290</v>
      </c>
      <c r="R6" s="486" t="s">
        <v>135</v>
      </c>
      <c r="S6" s="486" t="s">
        <v>155</v>
      </c>
      <c r="T6" s="486" t="s">
        <v>382</v>
      </c>
    </row>
    <row r="7" spans="2:20" ht="15.6">
      <c r="B7" s="493"/>
      <c r="C7" s="495"/>
      <c r="D7" s="134" t="s">
        <v>190</v>
      </c>
      <c r="E7" s="265" t="s">
        <v>449</v>
      </c>
      <c r="F7" s="134" t="s">
        <v>190</v>
      </c>
      <c r="G7" s="265" t="s">
        <v>452</v>
      </c>
      <c r="H7" s="134" t="s">
        <v>190</v>
      </c>
      <c r="I7" s="135" t="s">
        <v>157</v>
      </c>
      <c r="J7" s="134" t="s">
        <v>190</v>
      </c>
      <c r="K7" s="265" t="s">
        <v>450</v>
      </c>
      <c r="L7" s="486"/>
      <c r="M7" s="486"/>
      <c r="N7" s="486"/>
      <c r="O7" s="489"/>
      <c r="P7" s="486"/>
      <c r="Q7" s="486"/>
      <c r="R7" s="486"/>
      <c r="S7" s="486"/>
      <c r="T7" s="486"/>
    </row>
    <row r="8" spans="2:20">
      <c r="B8" s="494"/>
      <c r="C8" s="495"/>
      <c r="D8" s="136" t="s">
        <v>91</v>
      </c>
      <c r="E8" s="137" t="s">
        <v>134</v>
      </c>
      <c r="F8" s="266" t="s">
        <v>451</v>
      </c>
      <c r="G8" s="137" t="s">
        <v>134</v>
      </c>
      <c r="H8" s="136" t="s">
        <v>131</v>
      </c>
      <c r="I8" s="137" t="s">
        <v>134</v>
      </c>
      <c r="J8" s="136" t="s">
        <v>131</v>
      </c>
      <c r="K8" s="137" t="s">
        <v>134</v>
      </c>
      <c r="L8" s="137" t="s">
        <v>134</v>
      </c>
      <c r="M8" s="137" t="s">
        <v>18</v>
      </c>
      <c r="N8" s="137" t="s">
        <v>18</v>
      </c>
      <c r="O8" s="137" t="s">
        <v>18</v>
      </c>
      <c r="P8" s="137" t="s">
        <v>19</v>
      </c>
      <c r="Q8" s="138" t="s">
        <v>19</v>
      </c>
      <c r="R8" s="137" t="s">
        <v>18</v>
      </c>
      <c r="S8" s="203" t="s">
        <v>19</v>
      </c>
      <c r="T8" s="137"/>
    </row>
    <row r="9" spans="2:20">
      <c r="B9" s="82" t="s">
        <v>75</v>
      </c>
      <c r="C9" s="125"/>
      <c r="D9" s="67"/>
      <c r="E9" s="67"/>
      <c r="F9" s="67"/>
      <c r="G9" s="67"/>
      <c r="H9" s="67"/>
      <c r="I9" s="67"/>
      <c r="J9" s="67"/>
      <c r="K9" s="67"/>
      <c r="L9" s="67"/>
      <c r="M9" s="67"/>
      <c r="N9" s="67"/>
      <c r="O9" s="67"/>
      <c r="P9" s="67"/>
      <c r="Q9" s="67"/>
      <c r="R9" s="67"/>
      <c r="S9" s="67"/>
      <c r="T9" s="84"/>
    </row>
    <row r="10" spans="2:20">
      <c r="B10" s="79" t="s">
        <v>59</v>
      </c>
      <c r="C10" s="39">
        <v>1</v>
      </c>
      <c r="D10" s="94">
        <f>S_PFBA</f>
        <v>1000</v>
      </c>
      <c r="E10" s="95">
        <f>IFERROR(D10*$C10*B1_fir*B1_AUF*B1_Pso/B1_bw,"--")</f>
        <v>0.43811220773373216</v>
      </c>
      <c r="F10" s="95">
        <f>W_PFBA</f>
        <v>10</v>
      </c>
      <c r="G10" s="95">
        <f>IFERROR(F10*B1_dwi*B1_AUF/B1_bw,"--")</f>
        <v>1.3000000000000003</v>
      </c>
      <c r="H10" s="95">
        <f>VLOOKUP($B10,EPCs!$B$8:$G$28,3,FALSE)</f>
        <v>22000</v>
      </c>
      <c r="I10" s="95">
        <f t="shared" ref="I10:I20" si="0">IFERROR(H10*B1_FIRw*B1_AUF*B1_Pveg/B1_bw,"--")</f>
        <v>3938.783669763865</v>
      </c>
      <c r="J10" s="95" t="str">
        <f>VLOOKUP($B10,EPCs!$B$8:$G$28,5,FALSE)</f>
        <v>n/a</v>
      </c>
      <c r="K10" s="95" t="str">
        <f t="shared" ref="K10:K20" si="1">IFERROR(J10*B1_FIRw*B1_AUF*B1_Pinv/B1_bw,"--")</f>
        <v>--</v>
      </c>
      <c r="L10" s="95">
        <f>SUM(E10,G10,I10,K10)</f>
        <v>3940.5217819715986</v>
      </c>
      <c r="M10" s="95">
        <f>L10/10^6</f>
        <v>3.9405217819715984E-3</v>
      </c>
      <c r="N10" s="95" t="str">
        <f>VLOOKUP($B10,TRVs_birds!$B$5:$J$28,2,FALSE)</f>
        <v>No TRV</v>
      </c>
      <c r="O10" s="95" t="str">
        <f>VLOOKUP($B10,TRVs_birds!$B$5:$J$28,5,FALSE)</f>
        <v>No TRV</v>
      </c>
      <c r="P10" s="96" t="str">
        <f>IF(OR($M10=0,ISTEXT(N10)),"--",$M10/N10)</f>
        <v>--</v>
      </c>
      <c r="Q10" s="96" t="str">
        <f>IF(OR($M10=0,ISTEXT(O10)),"--",$M10/O10)</f>
        <v>--</v>
      </c>
      <c r="R10" s="207">
        <f>IF(ISBLANK(VLOOKUP($B10,TRVs_birds!$B$5:$J$28,8,FALSE)),"--",VLOOKUP($B10,TRVs_birds!$B$5:$J$28,8,FALSE))</f>
        <v>1</v>
      </c>
      <c r="S10" s="96">
        <f>IF(OR($M10=0,ISTEXT(R10)),"--",$M10/R10)</f>
        <v>3.9405217819715984E-3</v>
      </c>
      <c r="T10" s="359" t="str">
        <f>IF(AND(H10="n/a",ISNUMBER($C$41),$C$41&gt;0),"PU",IF(AND(J10="n/a",ISNUMBER($C$42),$C$42&gt;0),"PU",""))</f>
        <v>PU</v>
      </c>
    </row>
    <row r="11" spans="2:20">
      <c r="B11" s="79" t="s">
        <v>60</v>
      </c>
      <c r="C11" s="39">
        <v>1</v>
      </c>
      <c r="D11" s="94">
        <f>S_PFPeA</f>
        <v>1000</v>
      </c>
      <c r="E11" s="95">
        <f t="shared" ref="E11:E20" si="2">IFERROR(D11*$C11*B1_fir*B1_AUF*B1_Pso/B1_bw,"--")</f>
        <v>0.43811220773373216</v>
      </c>
      <c r="F11" s="95">
        <f>W_PFPeA</f>
        <v>10</v>
      </c>
      <c r="G11" s="95">
        <f t="shared" ref="G11:G20" si="3">IFERROR(F11*B1_dwi*B1_AUF/B1_bw,"--")</f>
        <v>1.3000000000000003</v>
      </c>
      <c r="H11" s="95">
        <f>VLOOKUP($B11,EPCs!$B$8:$G$28,3,FALSE)</f>
        <v>130000</v>
      </c>
      <c r="I11" s="95">
        <f t="shared" si="0"/>
        <v>23274.630775877384</v>
      </c>
      <c r="J11" s="95">
        <f>VLOOKUP($B11,EPCs!$B$8:$G$28,5,FALSE)</f>
        <v>340</v>
      </c>
      <c r="K11" s="95">
        <f t="shared" si="1"/>
        <v>4.5817718152678388</v>
      </c>
      <c r="L11" s="95">
        <f t="shared" ref="L11:L30" si="4">SUM(E11,G11,I11,K11)</f>
        <v>23280.950659900387</v>
      </c>
      <c r="M11" s="95">
        <f t="shared" ref="M11:M30" si="5">L11/10^6</f>
        <v>2.3280950659900386E-2</v>
      </c>
      <c r="N11" s="95" t="str">
        <f>VLOOKUP($B11,TRVs_birds!$B$5:$J$28,2,FALSE)</f>
        <v>No TRV</v>
      </c>
      <c r="O11" s="95" t="str">
        <f>VLOOKUP($B11,TRVs_birds!$B$5:$J$28,5,FALSE)</f>
        <v>No TRV</v>
      </c>
      <c r="P11" s="96" t="str">
        <f t="shared" ref="P11:P20" si="6">IF(OR($M11=0,ISTEXT(N11)),"--",$M11/N11)</f>
        <v>--</v>
      </c>
      <c r="Q11" s="96" t="str">
        <f t="shared" ref="Q11:Q20" si="7">IF(OR($M11=0,ISTEXT(O11)),"--",$M11/O11)</f>
        <v>--</v>
      </c>
      <c r="R11" s="207">
        <f>IF(ISBLANK(VLOOKUP($B11,TRVs_birds!$B$5:$J$28,8,FALSE)),"--",VLOOKUP($B11,TRVs_birds!$B$5:$J$28,8,FALSE))</f>
        <v>2</v>
      </c>
      <c r="S11" s="96">
        <f t="shared" ref="S11:S20" si="8">IF(OR($M11=0,ISTEXT(R11)),"--",$M11/R11)</f>
        <v>1.1640475329950193E-2</v>
      </c>
      <c r="T11" s="359" t="str">
        <f t="shared" ref="T11:T30" si="9">IF(AND(H11="n/a",ISNUMBER($C$41),$C$41&gt;0),"PU",IF(AND(J11="n/a",ISNUMBER($C$42),$C$42&gt;0),"PU",""))</f>
        <v/>
      </c>
    </row>
    <row r="12" spans="2:20">
      <c r="B12" s="80" t="s">
        <v>61</v>
      </c>
      <c r="C12" s="39">
        <v>1</v>
      </c>
      <c r="D12" s="94">
        <f>S_PFHxA</f>
        <v>2000</v>
      </c>
      <c r="E12" s="95">
        <f t="shared" si="2"/>
        <v>0.87622441546746432</v>
      </c>
      <c r="F12" s="95">
        <f>W_PFHxA</f>
        <v>10</v>
      </c>
      <c r="G12" s="95">
        <f t="shared" si="3"/>
        <v>1.3000000000000003</v>
      </c>
      <c r="H12" s="95">
        <f>VLOOKUP($B12,EPCs!$B$8:$G$28,3,FALSE)</f>
        <v>5</v>
      </c>
      <c r="I12" s="95">
        <f t="shared" si="0"/>
        <v>0.8951781067645147</v>
      </c>
      <c r="J12" s="95">
        <f>VLOOKUP($B12,EPCs!$B$8:$G$28,5,FALSE)</f>
        <v>60</v>
      </c>
      <c r="K12" s="95">
        <f t="shared" si="1"/>
        <v>0.80854796740020696</v>
      </c>
      <c r="L12" s="95">
        <f t="shared" si="4"/>
        <v>3.8799504896321859</v>
      </c>
      <c r="M12" s="95">
        <f t="shared" si="5"/>
        <v>3.879950489632186E-6</v>
      </c>
      <c r="N12" s="95" t="str">
        <f>VLOOKUP($B12,TRVs_birds!$B$5:$J$28,2,FALSE)</f>
        <v>No TRV</v>
      </c>
      <c r="O12" s="95" t="str">
        <f>VLOOKUP($B12,TRVs_birds!$B$5:$J$28,5,FALSE)</f>
        <v>No TRV</v>
      </c>
      <c r="P12" s="96" t="str">
        <f t="shared" si="6"/>
        <v>--</v>
      </c>
      <c r="Q12" s="96" t="str">
        <f t="shared" si="7"/>
        <v>--</v>
      </c>
      <c r="R12" s="207">
        <f>IF(ISBLANK(VLOOKUP($B12,TRVs_birds!$B$5:$J$28,8,FALSE)),"--",VLOOKUP($B12,TRVs_birds!$B$5:$J$28,8,FALSE))</f>
        <v>3</v>
      </c>
      <c r="S12" s="96">
        <f t="shared" si="8"/>
        <v>1.2933168298773954E-6</v>
      </c>
      <c r="T12" s="359" t="str">
        <f t="shared" si="9"/>
        <v/>
      </c>
    </row>
    <row r="13" spans="2:20">
      <c r="B13" s="80" t="s">
        <v>62</v>
      </c>
      <c r="C13" s="39">
        <v>1</v>
      </c>
      <c r="D13" s="94">
        <f>S_PFHpA</f>
        <v>2000</v>
      </c>
      <c r="E13" s="95">
        <f t="shared" si="2"/>
        <v>0.87622441546746432</v>
      </c>
      <c r="F13" s="95">
        <f>W_PFHpA</f>
        <v>30</v>
      </c>
      <c r="G13" s="95">
        <f t="shared" si="3"/>
        <v>3.9000000000000004</v>
      </c>
      <c r="H13" s="95">
        <f>VLOOKUP($B13,EPCs!$B$8:$G$28,3,FALSE)</f>
        <v>18800</v>
      </c>
      <c r="I13" s="95">
        <f t="shared" si="0"/>
        <v>3365.8696814345758</v>
      </c>
      <c r="J13" s="95">
        <f>VLOOKUP($B13,EPCs!$B$8:$G$28,5,FALSE)</f>
        <v>2400</v>
      </c>
      <c r="K13" s="95">
        <f t="shared" si="1"/>
        <v>32.341918696008278</v>
      </c>
      <c r="L13" s="95">
        <f t="shared" si="4"/>
        <v>3402.9878245460513</v>
      </c>
      <c r="M13" s="95">
        <f t="shared" si="5"/>
        <v>3.4029878245460513E-3</v>
      </c>
      <c r="N13" s="95" t="str">
        <f>VLOOKUP($B13,TRVs_birds!$B$5:$J$28,2,FALSE)</f>
        <v>No TRV</v>
      </c>
      <c r="O13" s="95" t="str">
        <f>VLOOKUP($B13,TRVs_birds!$B$5:$J$28,5,FALSE)</f>
        <v>No TRV</v>
      </c>
      <c r="P13" s="96" t="str">
        <f t="shared" si="6"/>
        <v>--</v>
      </c>
      <c r="Q13" s="96" t="str">
        <f t="shared" si="7"/>
        <v>--</v>
      </c>
      <c r="R13" s="207">
        <f>IF(ISBLANK(VLOOKUP($B13,TRVs_birds!$B$5:$J$28,8,FALSE)),"--",VLOOKUP($B13,TRVs_birds!$B$5:$J$28,8,FALSE))</f>
        <v>4</v>
      </c>
      <c r="S13" s="96">
        <f t="shared" si="8"/>
        <v>8.5074695613651284E-4</v>
      </c>
      <c r="T13" s="359" t="str">
        <f t="shared" si="9"/>
        <v/>
      </c>
    </row>
    <row r="14" spans="2:20">
      <c r="B14" s="80" t="s">
        <v>38</v>
      </c>
      <c r="C14" s="39">
        <v>1</v>
      </c>
      <c r="D14" s="94">
        <f>S_PFOA</f>
        <v>3000</v>
      </c>
      <c r="E14" s="95">
        <f t="shared" si="2"/>
        <v>1.3143366232011968</v>
      </c>
      <c r="F14" s="95">
        <f>W_PFOA</f>
        <v>10</v>
      </c>
      <c r="G14" s="95">
        <f t="shared" si="3"/>
        <v>1.3000000000000003</v>
      </c>
      <c r="H14" s="95">
        <f>VLOOKUP($B14,EPCs!$B$8:$G$28,3,FALSE)</f>
        <v>10</v>
      </c>
      <c r="I14" s="95">
        <f t="shared" si="0"/>
        <v>1.7903562135290294</v>
      </c>
      <c r="J14" s="95">
        <f>VLOOKUP($B14,EPCs!$B$8:$G$28,5,FALSE)</f>
        <v>1</v>
      </c>
      <c r="K14" s="95">
        <f t="shared" si="1"/>
        <v>1.3475799456670115E-2</v>
      </c>
      <c r="L14" s="95">
        <f t="shared" si="4"/>
        <v>4.4181686361868966</v>
      </c>
      <c r="M14" s="95">
        <f t="shared" si="5"/>
        <v>4.4181686361868966E-6</v>
      </c>
      <c r="N14" s="95">
        <f>VLOOKUP($B14,TRVs_birds!$B$5:$J$28,2,FALSE)</f>
        <v>1</v>
      </c>
      <c r="O14" s="95" t="str">
        <f>VLOOKUP($B14,TRVs_birds!$B$5:$J$28,5,FALSE)</f>
        <v>No TRV</v>
      </c>
      <c r="P14" s="96">
        <f t="shared" si="6"/>
        <v>4.4181686361868966E-6</v>
      </c>
      <c r="Q14" s="96" t="str">
        <f t="shared" si="7"/>
        <v>--</v>
      </c>
      <c r="R14" s="207" t="str">
        <f>IF(ISBLANK(VLOOKUP($B14,TRVs_birds!$B$5:$J$28,8,FALSE)),"--",VLOOKUP($B14,TRVs_birds!$B$5:$J$28,8,FALSE))</f>
        <v>--</v>
      </c>
      <c r="S14" s="96" t="str">
        <f t="shared" si="8"/>
        <v>--</v>
      </c>
      <c r="T14" s="359" t="str">
        <f t="shared" si="9"/>
        <v/>
      </c>
    </row>
    <row r="15" spans="2:20">
      <c r="B15" s="80" t="s">
        <v>63</v>
      </c>
      <c r="C15" s="39">
        <v>1</v>
      </c>
      <c r="D15" s="94">
        <f>S_PFNA</f>
        <v>3000</v>
      </c>
      <c r="E15" s="95">
        <f t="shared" si="2"/>
        <v>1.3143366232011968</v>
      </c>
      <c r="F15" s="95">
        <f>W_PFNA</f>
        <v>10</v>
      </c>
      <c r="G15" s="95">
        <f t="shared" si="3"/>
        <v>1.3000000000000003</v>
      </c>
      <c r="H15" s="95">
        <f>VLOOKUP($B15,EPCs!$B$8:$G$28,3,FALSE)</f>
        <v>3600</v>
      </c>
      <c r="I15" s="95">
        <f t="shared" si="0"/>
        <v>644.52823687045066</v>
      </c>
      <c r="J15" s="95">
        <f>VLOOKUP($B15,EPCs!$B$8:$G$28,5,FALSE)</f>
        <v>27300</v>
      </c>
      <c r="K15" s="95">
        <f t="shared" si="1"/>
        <v>367.88932516709411</v>
      </c>
      <c r="L15" s="95">
        <f t="shared" si="4"/>
        <v>1015.031898660746</v>
      </c>
      <c r="M15" s="95">
        <f t="shared" si="5"/>
        <v>1.0150318986607461E-3</v>
      </c>
      <c r="N15" s="95" t="str">
        <f>VLOOKUP($B15,TRVs_birds!$B$5:$J$28,2,FALSE)</f>
        <v>No TRV</v>
      </c>
      <c r="O15" s="95" t="str">
        <f>VLOOKUP($B15,TRVs_birds!$B$5:$J$28,5,FALSE)</f>
        <v>No TRV</v>
      </c>
      <c r="P15" s="96" t="str">
        <f t="shared" si="6"/>
        <v>--</v>
      </c>
      <c r="Q15" s="96" t="str">
        <f t="shared" si="7"/>
        <v>--</v>
      </c>
      <c r="R15" s="207" t="str">
        <f>IF(ISBLANK(VLOOKUP($B15,TRVs_birds!$B$5:$J$28,8,FALSE)),"--",VLOOKUP($B15,TRVs_birds!$B$5:$J$28,8,FALSE))</f>
        <v>--</v>
      </c>
      <c r="S15" s="96" t="str">
        <f t="shared" si="8"/>
        <v>--</v>
      </c>
      <c r="T15" s="359" t="str">
        <f t="shared" si="9"/>
        <v/>
      </c>
    </row>
    <row r="16" spans="2:20">
      <c r="B16" s="80" t="s">
        <v>64</v>
      </c>
      <c r="C16" s="39">
        <v>1</v>
      </c>
      <c r="D16" s="94">
        <f>S_PFDA</f>
        <v>4000</v>
      </c>
      <c r="E16" s="95">
        <f t="shared" si="2"/>
        <v>1.7524488309349286</v>
      </c>
      <c r="F16" s="95">
        <f>W_PFDA</f>
        <v>10</v>
      </c>
      <c r="G16" s="95">
        <f t="shared" si="3"/>
        <v>1.3000000000000003</v>
      </c>
      <c r="H16" s="95">
        <f>VLOOKUP($B16,EPCs!$B$8:$G$28,3,FALSE)</f>
        <v>3360</v>
      </c>
      <c r="I16" s="95">
        <f t="shared" si="0"/>
        <v>601.55968774575388</v>
      </c>
      <c r="J16" s="95">
        <f>VLOOKUP($B16,EPCs!$B$8:$G$28,5,FALSE)</f>
        <v>104000</v>
      </c>
      <c r="K16" s="95">
        <f t="shared" si="1"/>
        <v>1401.4831434936921</v>
      </c>
      <c r="L16" s="95">
        <f t="shared" si="4"/>
        <v>2006.0952800703808</v>
      </c>
      <c r="M16" s="95">
        <f t="shared" si="5"/>
        <v>2.0060952800703808E-3</v>
      </c>
      <c r="N16" s="95">
        <f>VLOOKUP($B16,TRVs_birds!$B$5:$J$28,2,FALSE)</f>
        <v>1</v>
      </c>
      <c r="O16" s="95" t="str">
        <f>VLOOKUP($B16,TRVs_birds!$B$5:$J$28,5,FALSE)</f>
        <v>No TRV</v>
      </c>
      <c r="P16" s="96">
        <f t="shared" si="6"/>
        <v>2.0060952800703808E-3</v>
      </c>
      <c r="Q16" s="96" t="str">
        <f t="shared" si="7"/>
        <v>--</v>
      </c>
      <c r="R16" s="207" t="str">
        <f>IF(ISBLANK(VLOOKUP($B16,TRVs_birds!$B$5:$J$28,8,FALSE)),"--",VLOOKUP($B16,TRVs_birds!$B$5:$J$28,8,FALSE))</f>
        <v>--</v>
      </c>
      <c r="S16" s="96" t="str">
        <f t="shared" si="8"/>
        <v>--</v>
      </c>
      <c r="T16" s="359" t="str">
        <f t="shared" si="9"/>
        <v/>
      </c>
    </row>
    <row r="17" spans="2:20">
      <c r="B17" s="80" t="s">
        <v>65</v>
      </c>
      <c r="C17" s="39">
        <v>1</v>
      </c>
      <c r="D17" s="94">
        <f>S_PFUnDA</f>
        <v>4000</v>
      </c>
      <c r="E17" s="95">
        <f t="shared" si="2"/>
        <v>1.7524488309349286</v>
      </c>
      <c r="F17" s="95">
        <f>W_PFUnDA</f>
        <v>10</v>
      </c>
      <c r="G17" s="95">
        <f t="shared" si="3"/>
        <v>1.3000000000000003</v>
      </c>
      <c r="H17" s="95">
        <f>VLOOKUP($B17,EPCs!$B$8:$G$28,3,FALSE)</f>
        <v>3040</v>
      </c>
      <c r="I17" s="95">
        <f t="shared" si="0"/>
        <v>544.26828891282491</v>
      </c>
      <c r="J17" s="95">
        <f>VLOOKUP($B17,EPCs!$B$8:$G$28,5,FALSE)</f>
        <v>156000</v>
      </c>
      <c r="K17" s="95">
        <f t="shared" si="1"/>
        <v>2102.224715240538</v>
      </c>
      <c r="L17" s="95">
        <f t="shared" si="4"/>
        <v>2649.5454529842978</v>
      </c>
      <c r="M17" s="95">
        <f t="shared" si="5"/>
        <v>2.6495454529842978E-3</v>
      </c>
      <c r="N17" s="95" t="str">
        <f>VLOOKUP($B17,TRVs_birds!$B$5:$J$28,2,FALSE)</f>
        <v>No TRV</v>
      </c>
      <c r="O17" s="95" t="str">
        <f>VLOOKUP($B17,TRVs_birds!$B$5:$J$28,5,FALSE)</f>
        <v>No TRV</v>
      </c>
      <c r="P17" s="96" t="str">
        <f t="shared" si="6"/>
        <v>--</v>
      </c>
      <c r="Q17" s="96" t="str">
        <f t="shared" si="7"/>
        <v>--</v>
      </c>
      <c r="R17" s="207" t="str">
        <f>IF(ISBLANK(VLOOKUP($B17,TRVs_birds!$B$5:$J$28,8,FALSE)),"--",VLOOKUP($B17,TRVs_birds!$B$5:$J$28,8,FALSE))</f>
        <v>--</v>
      </c>
      <c r="S17" s="96" t="str">
        <f t="shared" si="8"/>
        <v>--</v>
      </c>
      <c r="T17" s="359" t="str">
        <f t="shared" si="9"/>
        <v/>
      </c>
    </row>
    <row r="18" spans="2:20">
      <c r="B18" s="80" t="s">
        <v>66</v>
      </c>
      <c r="C18" s="39">
        <v>1</v>
      </c>
      <c r="D18" s="94">
        <f>S_PFDoDA</f>
        <v>5000</v>
      </c>
      <c r="E18" s="95">
        <f t="shared" si="2"/>
        <v>2.1905610386686614</v>
      </c>
      <c r="F18" s="95">
        <f>W_PFDoDA</f>
        <v>10</v>
      </c>
      <c r="G18" s="95">
        <f t="shared" si="3"/>
        <v>1.3000000000000003</v>
      </c>
      <c r="H18" s="95">
        <f>VLOOKUP($B18,EPCs!$B$8:$G$28,3,FALSE)</f>
        <v>3350</v>
      </c>
      <c r="I18" s="95">
        <f t="shared" si="0"/>
        <v>599.7693315322249</v>
      </c>
      <c r="J18" s="95">
        <f>VLOOKUP($B18,EPCs!$B$8:$G$28,5,FALSE)</f>
        <v>305000</v>
      </c>
      <c r="K18" s="95">
        <f t="shared" si="1"/>
        <v>4110.1188342843852</v>
      </c>
      <c r="L18" s="95">
        <f t="shared" si="4"/>
        <v>4713.3787268552787</v>
      </c>
      <c r="M18" s="95">
        <f t="shared" si="5"/>
        <v>4.7133787268552789E-3</v>
      </c>
      <c r="N18" s="95" t="str">
        <f>VLOOKUP($B18,TRVs_birds!$B$5:$J$28,2,FALSE)</f>
        <v>No TRV</v>
      </c>
      <c r="O18" s="95" t="str">
        <f>VLOOKUP($B18,TRVs_birds!$B$5:$J$28,5,FALSE)</f>
        <v>No TRV</v>
      </c>
      <c r="P18" s="96" t="str">
        <f t="shared" si="6"/>
        <v>--</v>
      </c>
      <c r="Q18" s="96" t="str">
        <f t="shared" si="7"/>
        <v>--</v>
      </c>
      <c r="R18" s="207" t="str">
        <f>IF(ISBLANK(VLOOKUP($B18,TRVs_birds!$B$5:$J$28,8,FALSE)),"--",VLOOKUP($B18,TRVs_birds!$B$5:$J$28,8,FALSE))</f>
        <v>--</v>
      </c>
      <c r="S18" s="96" t="str">
        <f t="shared" si="8"/>
        <v>--</v>
      </c>
      <c r="T18" s="359" t="str">
        <f t="shared" si="9"/>
        <v/>
      </c>
    </row>
    <row r="19" spans="2:20">
      <c r="B19" s="80" t="s">
        <v>67</v>
      </c>
      <c r="C19" s="39">
        <v>1</v>
      </c>
      <c r="D19" s="94">
        <f>S_PFTrDA</f>
        <v>5000</v>
      </c>
      <c r="E19" s="95">
        <f t="shared" si="2"/>
        <v>2.1905610386686614</v>
      </c>
      <c r="F19" s="95">
        <f>W_PFTrDA</f>
        <v>10</v>
      </c>
      <c r="G19" s="95">
        <f t="shared" si="3"/>
        <v>1.3000000000000003</v>
      </c>
      <c r="H19" s="95" t="str">
        <f>VLOOKUP($B19,EPCs!$B$8:$G$28,3,FALSE)</f>
        <v>n/a</v>
      </c>
      <c r="I19" s="95" t="str">
        <f t="shared" si="0"/>
        <v>--</v>
      </c>
      <c r="J19" s="95" t="str">
        <f>VLOOKUP($B19,EPCs!$B$8:$G$28,5,FALSE)</f>
        <v>n/a</v>
      </c>
      <c r="K19" s="95" t="str">
        <f t="shared" si="1"/>
        <v>--</v>
      </c>
      <c r="L19" s="95">
        <f t="shared" si="4"/>
        <v>3.4905610386686616</v>
      </c>
      <c r="M19" s="95">
        <f t="shared" si="5"/>
        <v>3.4905610386686618E-6</v>
      </c>
      <c r="N19" s="95" t="str">
        <f>VLOOKUP($B19,TRVs_birds!$B$5:$J$28,2,FALSE)</f>
        <v>No TRV</v>
      </c>
      <c r="O19" s="95" t="str">
        <f>VLOOKUP($B19,TRVs_birds!$B$5:$J$28,5,FALSE)</f>
        <v>No TRV</v>
      </c>
      <c r="P19" s="96" t="str">
        <f t="shared" si="6"/>
        <v>--</v>
      </c>
      <c r="Q19" s="96" t="str">
        <f t="shared" si="7"/>
        <v>--</v>
      </c>
      <c r="R19" s="207" t="str">
        <f>IF(ISBLANK(VLOOKUP($B19,TRVs_birds!$B$5:$J$28,8,FALSE)),"--",VLOOKUP($B19,TRVs_birds!$B$5:$J$28,8,FALSE))</f>
        <v>--</v>
      </c>
      <c r="S19" s="96" t="str">
        <f t="shared" si="8"/>
        <v>--</v>
      </c>
      <c r="T19" s="359" t="str">
        <f t="shared" si="9"/>
        <v>PU</v>
      </c>
    </row>
    <row r="20" spans="2:20">
      <c r="B20" s="80" t="s">
        <v>68</v>
      </c>
      <c r="C20" s="39">
        <v>1</v>
      </c>
      <c r="D20" s="94">
        <f>S_PFTeDA</f>
        <v>6000</v>
      </c>
      <c r="E20" s="95">
        <f t="shared" si="2"/>
        <v>2.6286732464023936</v>
      </c>
      <c r="F20" s="95">
        <f>W_PFTeDA</f>
        <v>10</v>
      </c>
      <c r="G20" s="95">
        <f t="shared" si="3"/>
        <v>1.3000000000000003</v>
      </c>
      <c r="H20" s="95">
        <f>VLOOKUP($B20,EPCs!$B$8:$G$28,3,FALSE)</f>
        <v>10</v>
      </c>
      <c r="I20" s="95">
        <f t="shared" si="0"/>
        <v>1.7903562135290294</v>
      </c>
      <c r="J20" s="95">
        <f>VLOOKUP($B20,EPCs!$B$8:$G$28,5,FALSE)</f>
        <v>25</v>
      </c>
      <c r="K20" s="95">
        <f t="shared" si="1"/>
        <v>0.33689498641675286</v>
      </c>
      <c r="L20" s="95">
        <f t="shared" si="4"/>
        <v>6.0559244463481763</v>
      </c>
      <c r="M20" s="95">
        <f t="shared" si="5"/>
        <v>6.0559244463481761E-6</v>
      </c>
      <c r="N20" s="95" t="str">
        <f>VLOOKUP($B20,TRVs_birds!$B$5:$J$28,2,FALSE)</f>
        <v>No TRV</v>
      </c>
      <c r="O20" s="95" t="str">
        <f>VLOOKUP($B20,TRVs_birds!$B$5:$J$28,5,FALSE)</f>
        <v>No TRV</v>
      </c>
      <c r="P20" s="96" t="str">
        <f t="shared" si="6"/>
        <v>--</v>
      </c>
      <c r="Q20" s="96" t="str">
        <f t="shared" si="7"/>
        <v>--</v>
      </c>
      <c r="R20" s="207" t="str">
        <f>IF(ISBLANK(VLOOKUP($B20,TRVs_birds!$B$5:$J$28,8,FALSE)),"--",VLOOKUP($B20,TRVs_birds!$B$5:$J$28,8,FALSE))</f>
        <v>--</v>
      </c>
      <c r="S20" s="96" t="str">
        <f t="shared" si="8"/>
        <v>--</v>
      </c>
      <c r="T20" s="359" t="str">
        <f t="shared" si="9"/>
        <v/>
      </c>
    </row>
    <row r="21" spans="2:20">
      <c r="B21" s="202" t="s">
        <v>76</v>
      </c>
      <c r="C21" s="125"/>
      <c r="D21" s="67"/>
      <c r="E21" s="67"/>
      <c r="F21" s="67"/>
      <c r="G21" s="67"/>
      <c r="H21" s="67"/>
      <c r="I21" s="67"/>
      <c r="J21" s="67"/>
      <c r="K21" s="67"/>
      <c r="L21" s="67"/>
      <c r="M21" s="67"/>
      <c r="N21" s="67"/>
      <c r="O21" s="67"/>
      <c r="P21" s="67"/>
      <c r="Q21" s="67"/>
      <c r="R21" s="67"/>
      <c r="S21" s="67"/>
      <c r="T21" s="396"/>
    </row>
    <row r="22" spans="2:20">
      <c r="B22" s="80" t="s">
        <v>69</v>
      </c>
      <c r="C22" s="39">
        <v>1</v>
      </c>
      <c r="D22" s="94">
        <f>S_PFBS</f>
        <v>1000</v>
      </c>
      <c r="E22" s="95">
        <f>IFERROR(D22*$C22*B1_fir*B1_AUF*B1_Pso/B1_bw,"--")</f>
        <v>0.43811220773373216</v>
      </c>
      <c r="F22" s="95">
        <f>W_PFBS</f>
        <v>10</v>
      </c>
      <c r="G22" s="95">
        <f>IFERROR(F22*B1_dwi*B1_AUF/B1_bw,"--")</f>
        <v>1.3000000000000003</v>
      </c>
      <c r="H22" s="95">
        <f>VLOOKUP($B22,EPCs!$B$8:$G$28,3,FALSE)</f>
        <v>40000</v>
      </c>
      <c r="I22" s="95">
        <f>IFERROR(H22*B1_FIRw*B1_AUF*B1_Pveg/B1_bw,"--")</f>
        <v>7161.4248541161187</v>
      </c>
      <c r="J22" s="95">
        <f>VLOOKUP($B22,EPCs!$B$8:$G$28,5,FALSE)</f>
        <v>5</v>
      </c>
      <c r="K22" s="95">
        <f>IFERROR(J22*B1_FIRw*B1_AUF*B1_Pinv/B1_bw,"--")</f>
        <v>6.7378997283350575E-2</v>
      </c>
      <c r="L22" s="95">
        <f t="shared" si="4"/>
        <v>7163.2303453211362</v>
      </c>
      <c r="M22" s="95">
        <f t="shared" si="5"/>
        <v>7.1632303453211359E-3</v>
      </c>
      <c r="N22" s="95">
        <f>VLOOKUP($B22,TRVs_birds!$B$5:$J$28,2,FALSE)</f>
        <v>88</v>
      </c>
      <c r="O22" s="95" t="str">
        <f>VLOOKUP($B22,TRVs_birds!$B$5:$J$28,5,FALSE)</f>
        <v>No TRV</v>
      </c>
      <c r="P22" s="96">
        <f t="shared" ref="P22:P25" si="10">IF(OR($M22=0,ISTEXT(N22)),"--",$M22/N22)</f>
        <v>8.1400344833194727E-5</v>
      </c>
      <c r="Q22" s="96" t="str">
        <f t="shared" ref="Q22:Q25" si="11">IF(OR($M22=0,ISTEXT(O22)),"--",$M22/O22)</f>
        <v>--</v>
      </c>
      <c r="R22" s="207" t="str">
        <f>IF(ISBLANK(VLOOKUP($B22,TRVs_birds!$B$5:$J$28,8,FALSE)),"--",VLOOKUP($B22,TRVs_birds!$B$5:$J$28,8,FALSE))</f>
        <v>--</v>
      </c>
      <c r="S22" s="96" t="str">
        <f t="shared" ref="S22:S25" si="12">IF(OR($M22=0,ISTEXT(R22)),"--",$M22/R22)</f>
        <v>--</v>
      </c>
      <c r="T22" s="359" t="str">
        <f t="shared" si="9"/>
        <v/>
      </c>
    </row>
    <row r="23" spans="2:20">
      <c r="B23" s="80" t="s">
        <v>70</v>
      </c>
      <c r="C23" s="39">
        <v>1</v>
      </c>
      <c r="D23" s="94">
        <f>S_PFHxS</f>
        <v>2000</v>
      </c>
      <c r="E23" s="95">
        <f>IFERROR(D23*$C23*B1_fir*B1_AUF*B1_Pso/B1_bw,"--")</f>
        <v>0.87622441546746432</v>
      </c>
      <c r="F23" s="95">
        <f>W_PFHxS</f>
        <v>10</v>
      </c>
      <c r="G23" s="95">
        <f>IFERROR(F23*B1_dwi*B1_AUF/B1_bw,"--")</f>
        <v>1.3000000000000003</v>
      </c>
      <c r="H23" s="95">
        <f>VLOOKUP($B23,EPCs!$B$8:$G$28,3,FALSE)</f>
        <v>10</v>
      </c>
      <c r="I23" s="95">
        <f>IFERROR(H23*B1_FIRw*B1_AUF*B1_Pveg/B1_bw,"--")</f>
        <v>1.7903562135290294</v>
      </c>
      <c r="J23" s="95">
        <f>VLOOKUP($B23,EPCs!$B$8:$G$28,5,FALSE)</f>
        <v>68000</v>
      </c>
      <c r="K23" s="95">
        <f>IFERROR(J23*B1_FIRw*B1_AUF*B1_Pinv/B1_bw,"--")</f>
        <v>916.35436305356791</v>
      </c>
      <c r="L23" s="95">
        <f t="shared" si="4"/>
        <v>920.32094368256435</v>
      </c>
      <c r="M23" s="95">
        <f t="shared" si="5"/>
        <v>9.2032094368256435E-4</v>
      </c>
      <c r="N23" s="95" t="str">
        <f>VLOOKUP($B23,TRVs_birds!$B$5:$J$28,2,FALSE)</f>
        <v>No TRV</v>
      </c>
      <c r="O23" s="95" t="str">
        <f>VLOOKUP($B23,TRVs_birds!$B$5:$J$28,5,FALSE)</f>
        <v>No TRV</v>
      </c>
      <c r="P23" s="96" t="str">
        <f t="shared" si="10"/>
        <v>--</v>
      </c>
      <c r="Q23" s="96" t="str">
        <f t="shared" si="11"/>
        <v>--</v>
      </c>
      <c r="R23" s="207" t="str">
        <f>IF(ISBLANK(VLOOKUP($B23,TRVs_birds!$B$5:$J$28,8,FALSE)),"--",VLOOKUP($B23,TRVs_birds!$B$5:$J$28,8,FALSE))</f>
        <v>--</v>
      </c>
      <c r="S23" s="96" t="str">
        <f t="shared" si="12"/>
        <v>--</v>
      </c>
      <c r="T23" s="359" t="str">
        <f t="shared" si="9"/>
        <v/>
      </c>
    </row>
    <row r="24" spans="2:20">
      <c r="B24" s="80" t="s">
        <v>37</v>
      </c>
      <c r="C24" s="39">
        <v>1</v>
      </c>
      <c r="D24" s="94">
        <f>S_PFOS</f>
        <v>3000</v>
      </c>
      <c r="E24" s="95">
        <f>IFERROR(D24*$C24*B1_fir*B1_AUF*B1_Pso/B1_bw,"--")</f>
        <v>1.3143366232011968</v>
      </c>
      <c r="F24" s="95">
        <f>W_PFOS</f>
        <v>10</v>
      </c>
      <c r="G24" s="95">
        <f>IFERROR(F24*B1_dwi*B1_AUF/B1_bw,"--")</f>
        <v>1.3000000000000003</v>
      </c>
      <c r="H24" s="95">
        <f>VLOOKUP($B24,EPCs!$B$8:$G$28,3,FALSE)</f>
        <v>13800</v>
      </c>
      <c r="I24" s="95">
        <f>IFERROR(H24*B1_FIRw*B1_AUF*B1_Pveg/B1_bw,"--")</f>
        <v>2470.6915746700611</v>
      </c>
      <c r="J24" s="95">
        <f>VLOOKUP($B24,EPCs!$B$8:$G$28,5,FALSE)</f>
        <v>8</v>
      </c>
      <c r="K24" s="95">
        <f>IFERROR(J24*B1_FIRw*B1_AUF*B1_Pinv/B1_bw,"--")</f>
        <v>0.10780639565336092</v>
      </c>
      <c r="L24" s="95">
        <f t="shared" si="4"/>
        <v>2473.4137176889158</v>
      </c>
      <c r="M24" s="95">
        <f t="shared" si="5"/>
        <v>2.4734137176889159E-3</v>
      </c>
      <c r="N24" s="95">
        <f>VLOOKUP($B24,TRVs_birds!$B$5:$J$28,2,FALSE)</f>
        <v>0.77</v>
      </c>
      <c r="O24" s="95">
        <f>VLOOKUP($B24,TRVs_birds!$B$5:$J$28,5,FALSE)</f>
        <v>2.64</v>
      </c>
      <c r="P24" s="96">
        <f t="shared" si="10"/>
        <v>3.2122256073882026E-3</v>
      </c>
      <c r="Q24" s="96">
        <f t="shared" si="11"/>
        <v>9.3689913548822572E-4</v>
      </c>
      <c r="R24" s="207" t="str">
        <f>IF(ISBLANK(VLOOKUP($B24,TRVs_birds!$B$5:$J$28,8,FALSE)),"--",VLOOKUP($B24,TRVs_birds!$B$5:$J$28,8,FALSE))</f>
        <v>--</v>
      </c>
      <c r="S24" s="96" t="str">
        <f t="shared" si="12"/>
        <v>--</v>
      </c>
      <c r="T24" s="359" t="str">
        <f t="shared" si="9"/>
        <v/>
      </c>
    </row>
    <row r="25" spans="2:20">
      <c r="B25" s="80" t="s">
        <v>71</v>
      </c>
      <c r="C25" s="39">
        <v>1</v>
      </c>
      <c r="D25" s="94">
        <f>S_PFDS</f>
        <v>1000</v>
      </c>
      <c r="E25" s="95">
        <f>IFERROR(D25*$C25*B1_fir*B1_AUF*B1_Pso/B1_bw,"--")</f>
        <v>0.43811220773373216</v>
      </c>
      <c r="F25" s="95">
        <f>W_PFDS</f>
        <v>10</v>
      </c>
      <c r="G25" s="95">
        <f>IFERROR(F25*B1_dwi*B1_AUF/B1_bw,"--")</f>
        <v>1.3000000000000003</v>
      </c>
      <c r="H25" s="95">
        <f>VLOOKUP($B25,EPCs!$B$8:$G$28,3,FALSE)</f>
        <v>180</v>
      </c>
      <c r="I25" s="95">
        <f>IFERROR(H25*B1_FIRw*B1_AUF*B1_Pveg/B1_bw,"--")</f>
        <v>32.226411843522527</v>
      </c>
      <c r="J25" s="95">
        <f>VLOOKUP($B25,EPCs!$B$8:$G$28,5,FALSE)</f>
        <v>1700.0000000000002</v>
      </c>
      <c r="K25" s="95">
        <f>IFERROR(J25*B1_FIRw*B1_AUF*B1_Pinv/B1_bw,"--")</f>
        <v>22.908859076339198</v>
      </c>
      <c r="L25" s="95">
        <f t="shared" si="4"/>
        <v>56.87338312759546</v>
      </c>
      <c r="M25" s="95">
        <f t="shared" si="5"/>
        <v>5.6873383127595461E-5</v>
      </c>
      <c r="N25" s="95" t="str">
        <f>VLOOKUP($B25,TRVs_birds!$B$5:$J$28,2,FALSE)</f>
        <v>No TRV</v>
      </c>
      <c r="O25" s="95" t="str">
        <f>VLOOKUP($B25,TRVs_birds!$B$5:$J$28,5,FALSE)</f>
        <v>No TRV</v>
      </c>
      <c r="P25" s="96" t="str">
        <f t="shared" si="10"/>
        <v>--</v>
      </c>
      <c r="Q25" s="96" t="str">
        <f t="shared" si="11"/>
        <v>--</v>
      </c>
      <c r="R25" s="207" t="str">
        <f>IF(ISBLANK(VLOOKUP($B25,TRVs_birds!$B$5:$J$28,8,FALSE)),"--",VLOOKUP($B25,TRVs_birds!$B$5:$J$28,8,FALSE))</f>
        <v>--</v>
      </c>
      <c r="S25" s="96" t="str">
        <f t="shared" si="12"/>
        <v>--</v>
      </c>
      <c r="T25" s="359" t="str">
        <f t="shared" si="9"/>
        <v/>
      </c>
    </row>
    <row r="26" spans="2:20">
      <c r="B26" s="202" t="s">
        <v>77</v>
      </c>
      <c r="C26" s="125"/>
      <c r="D26" s="67"/>
      <c r="E26" s="67"/>
      <c r="F26" s="67"/>
      <c r="G26" s="67"/>
      <c r="H26" s="67"/>
      <c r="I26" s="67"/>
      <c r="J26" s="67"/>
      <c r="K26" s="67"/>
      <c r="L26" s="67"/>
      <c r="M26" s="67"/>
      <c r="N26" s="67"/>
      <c r="O26" s="67"/>
      <c r="P26" s="67"/>
      <c r="Q26" s="67"/>
      <c r="R26" s="67"/>
      <c r="S26" s="67"/>
      <c r="T26" s="396"/>
    </row>
    <row r="27" spans="2:20">
      <c r="B27" s="80" t="s">
        <v>72</v>
      </c>
      <c r="C27" s="39">
        <v>1</v>
      </c>
      <c r="D27" s="94">
        <f>S_PFOSA</f>
        <v>1000</v>
      </c>
      <c r="E27" s="95">
        <f>IFERROR(D27*$C27*B1_fir*B1_AUF*B1_Pso/B1_bw,"--")</f>
        <v>0.43811220773373216</v>
      </c>
      <c r="F27" s="95">
        <f>W_PFOSA</f>
        <v>10</v>
      </c>
      <c r="G27" s="95">
        <f>IFERROR(F27*B1_dwi*B1_AUF/B1_bw,"--")</f>
        <v>1.3000000000000003</v>
      </c>
      <c r="H27" s="95">
        <f>VLOOKUP($B27,EPCs!$B$8:$G$28,3,FALSE)</f>
        <v>33</v>
      </c>
      <c r="I27" s="95">
        <f>IFERROR(H27*B1_FIRw*B1_AUF*B1_Pveg/B1_bw,"--")</f>
        <v>5.908175504645798</v>
      </c>
      <c r="J27" s="95" t="str">
        <f>VLOOKUP($B27,EPCs!$B$8:$G$28,5,FALSE)</f>
        <v>n/a</v>
      </c>
      <c r="K27" s="95" t="str">
        <f>IFERROR(J27*B1_FIRw*B1_AUF*B1_Pinv/B1_bw,"--")</f>
        <v>--</v>
      </c>
      <c r="L27" s="95">
        <f t="shared" si="4"/>
        <v>7.6462877123795305</v>
      </c>
      <c r="M27" s="95">
        <f t="shared" si="5"/>
        <v>7.6462877123795312E-6</v>
      </c>
      <c r="N27" s="95" t="str">
        <f>VLOOKUP($B27,TRVs_birds!$B$5:$J$28,2,FALSE)</f>
        <v>No TRV</v>
      </c>
      <c r="O27" s="95" t="str">
        <f>VLOOKUP($B27,TRVs_birds!$B$5:$J$28,5,FALSE)</f>
        <v>No TRV</v>
      </c>
      <c r="P27" s="96" t="str">
        <f t="shared" ref="P27" si="13">IF(OR($M27=0,ISTEXT(N27)),"--",$M27/N27)</f>
        <v>--</v>
      </c>
      <c r="Q27" s="96" t="str">
        <f t="shared" ref="Q27" si="14">IF(OR($M27=0,ISTEXT(O27)),"--",$M27/O27)</f>
        <v>--</v>
      </c>
      <c r="R27" s="282" t="str">
        <f>IF(ISBLANK(VLOOKUP($B27,TRVs_birds!$B$5:$J$28,8,FALSE)),"--",VLOOKUP($B27,TRVs_birds!$B$5:$J$28,8,FALSE))</f>
        <v>--</v>
      </c>
      <c r="S27" s="96" t="str">
        <f>IF(OR($M27=0,ISTEXT(R27)),"--",$M27/R27)</f>
        <v>--</v>
      </c>
      <c r="T27" s="359" t="str">
        <f t="shared" si="9"/>
        <v>PU</v>
      </c>
    </row>
    <row r="28" spans="2:20">
      <c r="B28" s="202" t="s">
        <v>78</v>
      </c>
      <c r="C28" s="125"/>
      <c r="D28" s="67"/>
      <c r="E28" s="67"/>
      <c r="F28" s="67"/>
      <c r="G28" s="67"/>
      <c r="H28" s="67"/>
      <c r="I28" s="67"/>
      <c r="J28" s="67"/>
      <c r="K28" s="67"/>
      <c r="L28" s="67"/>
      <c r="M28" s="67"/>
      <c r="N28" s="67"/>
      <c r="O28" s="67"/>
      <c r="P28" s="67"/>
      <c r="Q28" s="67"/>
      <c r="R28" s="67"/>
      <c r="S28" s="67"/>
      <c r="T28" s="84"/>
    </row>
    <row r="29" spans="2:20">
      <c r="B29" s="80" t="s">
        <v>73</v>
      </c>
      <c r="C29" s="39">
        <v>1</v>
      </c>
      <c r="D29" s="94">
        <f>S_NEtFOSAA</f>
        <v>1000</v>
      </c>
      <c r="E29" s="95">
        <f>IFERROR(D29*$C29*B1_fir*B1_AUF*B1_Pso/B1_bw,"--")</f>
        <v>0.43811220773373216</v>
      </c>
      <c r="F29" s="95">
        <f>W_NEtFOSAA</f>
        <v>10</v>
      </c>
      <c r="G29" s="95">
        <f>IFERROR(F29*B1_dwi*B1_AUF/B1_bw,"--")</f>
        <v>1.3000000000000003</v>
      </c>
      <c r="H29" s="95">
        <f>VLOOKUP($B29,EPCs!$B$8:$G$28,3,FALSE)</f>
        <v>10</v>
      </c>
      <c r="I29" s="95">
        <f>IFERROR(H29*B1_FIRw*B1_AUF*B1_Pveg/B1_bw,"--")</f>
        <v>1.7903562135290294</v>
      </c>
      <c r="J29" s="95">
        <f>VLOOKUP($B29,EPCs!$B$8:$G$28,5,FALSE)</f>
        <v>45</v>
      </c>
      <c r="K29" s="95">
        <f>IFERROR(J29*B1_FIRw*B1_AUF*B1_Pinv/B1_bw,"--")</f>
        <v>0.60641097555015522</v>
      </c>
      <c r="L29" s="95">
        <f t="shared" si="4"/>
        <v>4.1348793968129165</v>
      </c>
      <c r="M29" s="95">
        <f t="shared" si="5"/>
        <v>4.1348793968129164E-6</v>
      </c>
      <c r="N29" s="95" t="str">
        <f>VLOOKUP($B29,TRVs_birds!$B$5:$J$28,2,FALSE)</f>
        <v>No TRV</v>
      </c>
      <c r="O29" s="95" t="str">
        <f>VLOOKUP($B29,TRVs_birds!$B$5:$J$28,5,FALSE)</f>
        <v>No TRV</v>
      </c>
      <c r="P29" s="96" t="str">
        <f t="shared" ref="P29:P30" si="15">IF(OR($M29=0,ISTEXT(N29)),"--",$M29/N29)</f>
        <v>--</v>
      </c>
      <c r="Q29" s="96" t="str">
        <f t="shared" ref="Q29:Q30" si="16">IF(OR($M29=0,ISTEXT(O29)),"--",$M29/O29)</f>
        <v>--</v>
      </c>
      <c r="R29" s="207" t="str">
        <f>IF(ISBLANK(VLOOKUP($B29,TRVs_birds!$B$5:$J$28,8,FALSE)),"--",VLOOKUP($B29,TRVs_birds!$B$5:$J$28,8,FALSE))</f>
        <v>--</v>
      </c>
      <c r="S29" s="96" t="str">
        <f t="shared" ref="S29:S30" si="17">IF(OR($M29=0,ISTEXT(R29)),"--",$M29/R29)</f>
        <v>--</v>
      </c>
      <c r="T29" s="359" t="str">
        <f t="shared" si="9"/>
        <v/>
      </c>
    </row>
    <row r="30" spans="2:20">
      <c r="B30" s="81" t="s">
        <v>74</v>
      </c>
      <c r="C30" s="39">
        <v>1</v>
      </c>
      <c r="D30" s="94">
        <f>S_NMeFOSAA</f>
        <v>1000</v>
      </c>
      <c r="E30" s="95">
        <f>IFERROR(D30*$C30*B1_fir*B1_AUF*B1_Pso/B1_bw,"--")</f>
        <v>0.43811220773373216</v>
      </c>
      <c r="F30" s="95">
        <f>W_NMeFOSAA</f>
        <v>10</v>
      </c>
      <c r="G30" s="95">
        <f>IFERROR(F30*B1_dwi*B1_AUF/B1_bw,"--")</f>
        <v>1.3000000000000003</v>
      </c>
      <c r="H30" s="95" t="str">
        <f>VLOOKUP($B30,EPCs!$B$8:$G$28,3,FALSE)</f>
        <v>n/a</v>
      </c>
      <c r="I30" s="95" t="str">
        <f>IFERROR(H30*B1_FIRw*B1_AUF*B1_Pveg/B1_bw,"--")</f>
        <v>--</v>
      </c>
      <c r="J30" s="95" t="str">
        <f>VLOOKUP($B30,EPCs!$B$8:$G$28,5,FALSE)</f>
        <v>n/a</v>
      </c>
      <c r="K30" s="95" t="str">
        <f>IFERROR(J30*B1_FIRw*B1_AUF*B1_Pinv/B1_bw,"--")</f>
        <v>--</v>
      </c>
      <c r="L30" s="95">
        <f t="shared" si="4"/>
        <v>1.7381122077337325</v>
      </c>
      <c r="M30" s="95">
        <f t="shared" si="5"/>
        <v>1.7381122077337326E-6</v>
      </c>
      <c r="N30" s="95" t="str">
        <f>VLOOKUP($B30,TRVs_birds!$B$5:$J$28,2,FALSE)</f>
        <v>No TRV</v>
      </c>
      <c r="O30" s="95" t="str">
        <f>VLOOKUP($B30,TRVs_birds!$B$5:$J$28,5,FALSE)</f>
        <v>No TRV</v>
      </c>
      <c r="P30" s="96" t="str">
        <f t="shared" si="15"/>
        <v>--</v>
      </c>
      <c r="Q30" s="96" t="str">
        <f t="shared" si="16"/>
        <v>--</v>
      </c>
      <c r="R30" s="207" t="str">
        <f>IF(ISBLANK(VLOOKUP($B30,TRVs_birds!$B$5:$J$28,8,FALSE)),"--",VLOOKUP($B30,TRVs_birds!$B$5:$J$28,8,FALSE))</f>
        <v>--</v>
      </c>
      <c r="S30" s="96" t="str">
        <f t="shared" si="17"/>
        <v>--</v>
      </c>
      <c r="T30" s="359" t="str">
        <f t="shared" si="9"/>
        <v>PU</v>
      </c>
    </row>
    <row r="31" spans="2:20" ht="14.4">
      <c r="B31" s="43"/>
      <c r="C31" s="97"/>
      <c r="D31" s="97"/>
      <c r="E31" s="97"/>
      <c r="F31"/>
      <c r="G31"/>
      <c r="H31" s="97"/>
      <c r="I31" s="97"/>
      <c r="J31"/>
      <c r="K31"/>
      <c r="L31"/>
      <c r="M31"/>
      <c r="N31"/>
      <c r="O31"/>
      <c r="P31"/>
      <c r="Q31"/>
      <c r="R31"/>
      <c r="S31"/>
      <c r="T31"/>
    </row>
    <row r="32" spans="2:20">
      <c r="B32" s="31" t="s">
        <v>1</v>
      </c>
      <c r="E32" s="222"/>
      <c r="F32" s="222"/>
      <c r="G32" s="222"/>
      <c r="H32" s="222"/>
      <c r="M32" s="100"/>
      <c r="N32" s="100"/>
    </row>
    <row r="33" spans="2:14">
      <c r="B33" s="234" t="s">
        <v>373</v>
      </c>
      <c r="C33" s="103"/>
      <c r="D33" s="101"/>
      <c r="E33" s="19"/>
      <c r="F33" s="19"/>
      <c r="G33" s="19"/>
      <c r="H33" s="19"/>
      <c r="I33" s="101"/>
      <c r="J33" s="101"/>
      <c r="K33" s="101"/>
      <c r="M33" s="103"/>
      <c r="N33" s="103"/>
    </row>
    <row r="34" spans="2:14">
      <c r="B34" s="234"/>
      <c r="C34" s="103"/>
      <c r="D34" s="101"/>
      <c r="E34" s="19"/>
      <c r="F34" s="19"/>
      <c r="G34" s="19"/>
      <c r="H34" s="19"/>
      <c r="I34" s="101"/>
      <c r="J34" s="101"/>
      <c r="K34" s="101"/>
      <c r="M34" s="103"/>
      <c r="N34" s="103"/>
    </row>
    <row r="35" spans="2:14" ht="15.6">
      <c r="B35" s="293" t="s">
        <v>158</v>
      </c>
      <c r="C35" s="104"/>
      <c r="D35" s="222"/>
      <c r="E35" s="105"/>
      <c r="F35" s="105"/>
      <c r="G35" s="105"/>
      <c r="H35" s="105"/>
      <c r="I35" s="105"/>
      <c r="J35" s="103"/>
      <c r="K35" s="103"/>
      <c r="M35" s="106"/>
      <c r="N35" s="103"/>
    </row>
    <row r="36" spans="2:14">
      <c r="B36" s="104"/>
      <c r="C36" s="104"/>
      <c r="D36" s="222"/>
      <c r="E36" s="105"/>
      <c r="F36" s="105"/>
      <c r="G36" s="105"/>
      <c r="H36" s="105"/>
      <c r="I36" s="105"/>
      <c r="J36" s="103"/>
      <c r="K36" s="103"/>
      <c r="M36" s="106"/>
      <c r="N36" s="103"/>
    </row>
    <row r="37" spans="2:14">
      <c r="B37" s="405" t="s">
        <v>191</v>
      </c>
      <c r="C37" s="295" t="s">
        <v>53</v>
      </c>
      <c r="D37" s="294" t="s">
        <v>2</v>
      </c>
      <c r="E37" s="296" t="s">
        <v>51</v>
      </c>
      <c r="H37" s="103"/>
      <c r="J37" s="103"/>
      <c r="K37" s="103"/>
      <c r="L37" s="103"/>
    </row>
    <row r="38" spans="2:14" ht="15.6">
      <c r="B38" s="406" t="s">
        <v>159</v>
      </c>
      <c r="C38" s="491" t="s">
        <v>136</v>
      </c>
      <c r="D38" s="105" t="s">
        <v>18</v>
      </c>
      <c r="E38" s="101" t="s">
        <v>160</v>
      </c>
      <c r="H38" s="103"/>
      <c r="J38" s="103"/>
      <c r="L38" s="103"/>
    </row>
    <row r="39" spans="2:14" ht="15.6">
      <c r="B39" s="407" t="s">
        <v>161</v>
      </c>
      <c r="C39" s="491"/>
      <c r="D39" s="139" t="s">
        <v>192</v>
      </c>
      <c r="E39" s="101" t="s">
        <v>42</v>
      </c>
      <c r="H39" s="103"/>
      <c r="J39" s="103"/>
      <c r="L39" s="103"/>
    </row>
    <row r="40" spans="2:14">
      <c r="B40" s="406" t="s">
        <v>17</v>
      </c>
      <c r="C40" s="491"/>
      <c r="D40" s="105" t="s">
        <v>19</v>
      </c>
      <c r="E40" s="234" t="s">
        <v>375</v>
      </c>
      <c r="H40" s="103"/>
      <c r="J40" s="103"/>
      <c r="L40" s="103"/>
    </row>
    <row r="41" spans="2:14" ht="15.6">
      <c r="B41" s="407" t="s">
        <v>92</v>
      </c>
      <c r="C41" s="281">
        <f>B1_Pveg</f>
        <v>0.93</v>
      </c>
      <c r="D41" s="105" t="s">
        <v>15</v>
      </c>
      <c r="E41" s="101" t="s">
        <v>20</v>
      </c>
      <c r="H41" s="103"/>
      <c r="J41" s="103"/>
      <c r="L41" s="103"/>
    </row>
    <row r="42" spans="2:14" ht="15.6">
      <c r="B42" s="408" t="s">
        <v>308</v>
      </c>
      <c r="C42" s="281">
        <f>B1_Pinv</f>
        <v>7.0000000000000007E-2</v>
      </c>
      <c r="D42" s="105" t="s">
        <v>15</v>
      </c>
      <c r="E42" s="238" t="s">
        <v>469</v>
      </c>
      <c r="H42" s="103"/>
      <c r="J42" s="103"/>
      <c r="L42" s="103"/>
    </row>
    <row r="43" spans="2:14" ht="15.6">
      <c r="B43" s="407" t="s">
        <v>93</v>
      </c>
      <c r="C43" s="347">
        <f>B1_Pso</f>
        <v>0.01</v>
      </c>
      <c r="D43" s="105" t="s">
        <v>15</v>
      </c>
      <c r="E43" s="238" t="s">
        <v>384</v>
      </c>
      <c r="H43" s="101"/>
      <c r="J43" s="103"/>
      <c r="L43" s="103"/>
    </row>
    <row r="44" spans="2:14" ht="15.6">
      <c r="B44" s="407" t="s">
        <v>133</v>
      </c>
      <c r="C44" s="144">
        <f>B1_fir</f>
        <v>2.6330543684797304E-2</v>
      </c>
      <c r="D44" s="105" t="s">
        <v>21</v>
      </c>
      <c r="E44" s="360" t="s">
        <v>525</v>
      </c>
      <c r="F44" s="24"/>
      <c r="G44" s="24"/>
      <c r="H44" s="140"/>
      <c r="J44" s="103"/>
      <c r="L44" s="103"/>
      <c r="M44" s="103"/>
    </row>
    <row r="45" spans="2:14" ht="15.6">
      <c r="B45" s="407" t="s">
        <v>132</v>
      </c>
      <c r="C45" s="144">
        <f>B1_FIRw</f>
        <v>0.1156993639065534</v>
      </c>
      <c r="D45" s="105" t="s">
        <v>21</v>
      </c>
      <c r="E45" s="101" t="s">
        <v>267</v>
      </c>
      <c r="H45" s="101"/>
      <c r="J45" s="103"/>
    </row>
    <row r="46" spans="2:14">
      <c r="B46" s="407" t="s">
        <v>14</v>
      </c>
      <c r="C46" s="281">
        <f>B1_AUF</f>
        <v>1</v>
      </c>
      <c r="D46" s="105" t="s">
        <v>15</v>
      </c>
      <c r="E46" s="101" t="s">
        <v>25</v>
      </c>
      <c r="H46" s="103"/>
      <c r="J46" s="103"/>
    </row>
    <row r="47" spans="2:14">
      <c r="B47" s="407" t="s">
        <v>5</v>
      </c>
      <c r="C47" s="281">
        <f>B1_bw</f>
        <v>0.60099999999999998</v>
      </c>
      <c r="D47" s="105" t="s">
        <v>26</v>
      </c>
      <c r="E47" s="101" t="s">
        <v>6</v>
      </c>
      <c r="H47" s="103"/>
      <c r="J47" s="103"/>
      <c r="K47" s="103"/>
    </row>
    <row r="48" spans="2:14">
      <c r="B48" s="407" t="s">
        <v>388</v>
      </c>
      <c r="C48" s="281">
        <f>B1_dwi</f>
        <v>7.8130000000000005E-2</v>
      </c>
      <c r="D48" s="105" t="s">
        <v>390</v>
      </c>
      <c r="E48" s="433" t="s">
        <v>389</v>
      </c>
      <c r="I48" s="103"/>
      <c r="J48" s="103"/>
      <c r="K48" s="103"/>
    </row>
    <row r="49" spans="2:20">
      <c r="B49" s="297"/>
      <c r="C49" s="281"/>
      <c r="D49" s="105"/>
      <c r="E49" s="101"/>
      <c r="I49" s="103"/>
      <c r="J49" s="103"/>
      <c r="K49" s="103"/>
    </row>
    <row r="50" spans="2:20">
      <c r="B50" s="238" t="s">
        <v>383</v>
      </c>
      <c r="C50" s="101"/>
      <c r="D50" s="103"/>
      <c r="I50" s="103"/>
      <c r="J50" s="103"/>
    </row>
    <row r="51" spans="2:20">
      <c r="B51" s="487" t="s">
        <v>456</v>
      </c>
      <c r="C51" s="487"/>
      <c r="D51" s="487"/>
      <c r="E51" s="487"/>
      <c r="F51" s="487"/>
      <c r="G51" s="487"/>
      <c r="H51" s="487"/>
      <c r="I51" s="487"/>
      <c r="J51" s="487"/>
      <c r="K51" s="487"/>
      <c r="L51" s="487"/>
      <c r="M51" s="487"/>
      <c r="N51" s="487"/>
      <c r="O51" s="487"/>
      <c r="P51" s="487"/>
      <c r="Q51" s="487"/>
      <c r="R51" s="487"/>
      <c r="S51" s="487"/>
      <c r="T51" s="487"/>
    </row>
    <row r="52" spans="2:20">
      <c r="B52" s="487"/>
      <c r="C52" s="487"/>
      <c r="D52" s="487"/>
      <c r="E52" s="487"/>
      <c r="F52" s="487"/>
      <c r="G52" s="487"/>
      <c r="H52" s="487"/>
      <c r="I52" s="487"/>
      <c r="J52" s="487"/>
      <c r="K52" s="487"/>
      <c r="L52" s="487"/>
      <c r="M52" s="487"/>
      <c r="N52" s="487"/>
      <c r="O52" s="487"/>
      <c r="P52" s="487"/>
      <c r="Q52" s="487"/>
      <c r="R52" s="487"/>
      <c r="S52" s="487"/>
      <c r="T52" s="487"/>
    </row>
    <row r="53" spans="2:20">
      <c r="B53" s="284"/>
      <c r="C53" s="284"/>
      <c r="D53" s="284"/>
      <c r="E53" s="284"/>
      <c r="F53" s="284"/>
      <c r="G53" s="284"/>
      <c r="H53" s="284"/>
      <c r="I53" s="284"/>
      <c r="J53" s="284"/>
      <c r="K53" s="284"/>
      <c r="L53" s="284"/>
      <c r="M53" s="284"/>
      <c r="N53" s="284"/>
      <c r="O53" s="284"/>
      <c r="P53" s="284"/>
      <c r="Q53" s="284"/>
      <c r="R53" s="284"/>
      <c r="S53" s="284"/>
      <c r="T53" s="284"/>
    </row>
    <row r="54" spans="2:20">
      <c r="B54" s="31" t="s">
        <v>22</v>
      </c>
    </row>
    <row r="55" spans="2:20" s="24" customFormat="1">
      <c r="B55" s="16" t="s">
        <v>45</v>
      </c>
      <c r="C55" s="14" t="s">
        <v>296</v>
      </c>
      <c r="D55" s="14"/>
      <c r="F55" s="14"/>
      <c r="G55" s="14"/>
      <c r="H55" s="14"/>
      <c r="I55" s="14"/>
      <c r="K55" s="14"/>
      <c r="L55" s="14"/>
      <c r="M55" s="14"/>
      <c r="N55" s="14"/>
      <c r="O55" s="14"/>
      <c r="P55" s="14"/>
      <c r="Q55" s="14"/>
      <c r="R55" s="14"/>
    </row>
    <row r="56" spans="2:20">
      <c r="B56" s="16" t="s">
        <v>47</v>
      </c>
      <c r="C56" s="206" t="s">
        <v>298</v>
      </c>
    </row>
    <row r="57" spans="2:20">
      <c r="B57" s="13" t="s">
        <v>259</v>
      </c>
      <c r="C57" s="14" t="s">
        <v>294</v>
      </c>
    </row>
    <row r="58" spans="2:20">
      <c r="B58" s="13" t="s">
        <v>261</v>
      </c>
      <c r="C58" s="14" t="s">
        <v>295</v>
      </c>
    </row>
    <row r="59" spans="2:20">
      <c r="B59" s="14" t="s">
        <v>223</v>
      </c>
    </row>
    <row r="60" spans="2:20">
      <c r="B60" s="159" t="s">
        <v>50</v>
      </c>
    </row>
  </sheetData>
  <mergeCells count="17">
    <mergeCell ref="H6:I6"/>
    <mergeCell ref="L6:L7"/>
    <mergeCell ref="B51:T52"/>
    <mergeCell ref="N6:N7"/>
    <mergeCell ref="T6:T7"/>
    <mergeCell ref="R6:R7"/>
    <mergeCell ref="S6:S7"/>
    <mergeCell ref="Q6:Q7"/>
    <mergeCell ref="O6:O7"/>
    <mergeCell ref="P6:P7"/>
    <mergeCell ref="F6:G6"/>
    <mergeCell ref="C38:C40"/>
    <mergeCell ref="B6:B8"/>
    <mergeCell ref="M6:M7"/>
    <mergeCell ref="J6:K6"/>
    <mergeCell ref="C6:C8"/>
    <mergeCell ref="D6:E6"/>
  </mergeCells>
  <conditionalFormatting sqref="P10:Q20">
    <cfRule type="expression" dxfId="226" priority="77">
      <formula>AND(ISNUMBER(P10),P10&gt;1)</formula>
    </cfRule>
  </conditionalFormatting>
  <conditionalFormatting sqref="Q10:Q20">
    <cfRule type="expression" dxfId="225" priority="76">
      <formula>AND(ISNUMBER(Q10),Q10&gt;1)</formula>
    </cfRule>
  </conditionalFormatting>
  <conditionalFormatting sqref="P12:P20 P22:P25 P27 P29:P30">
    <cfRule type="expression" dxfId="224" priority="75">
      <formula>AND(ISNUMBER(P12),P12&gt;1)</formula>
    </cfRule>
  </conditionalFormatting>
  <conditionalFormatting sqref="Q12:Q20 Q22:Q25 Q27 Q29:Q30">
    <cfRule type="expression" dxfId="223" priority="74">
      <formula>AND(ISNUMBER(Q12),Q12&gt;1)</formula>
    </cfRule>
  </conditionalFormatting>
  <conditionalFormatting sqref="P10:Q30">
    <cfRule type="expression" dxfId="222" priority="67">
      <formula>"$P$10:$Q$30,&gt;1)"</formula>
    </cfRule>
  </conditionalFormatting>
  <conditionalFormatting sqref="F7:F10 F12:F30">
    <cfRule type="expression" dxfId="221" priority="65">
      <formula>ISBLANK(surface_water)</formula>
    </cfRule>
  </conditionalFormatting>
  <conditionalFormatting sqref="G7:G10 G12:G30">
    <cfRule type="expression" dxfId="220" priority="64">
      <formula>ISBLANK(surface_water)</formula>
    </cfRule>
  </conditionalFormatting>
  <conditionalFormatting sqref="F6:G6">
    <cfRule type="expression" dxfId="219" priority="63">
      <formula>ISBLANK(surface_water)</formula>
    </cfRule>
  </conditionalFormatting>
  <conditionalFormatting sqref="P11">
    <cfRule type="expression" dxfId="218" priority="61">
      <formula>AND(ISNUMBER(P11),P11&gt;1)</formula>
    </cfRule>
  </conditionalFormatting>
  <conditionalFormatting sqref="Q11">
    <cfRule type="expression" dxfId="217" priority="60">
      <formula>AND(ISNUMBER(Q11),Q11&gt;1)</formula>
    </cfRule>
  </conditionalFormatting>
  <conditionalFormatting sqref="P11:Q11">
    <cfRule type="expression" dxfId="216" priority="58">
      <formula>"$P$10:$Q$30,&gt;1)"</formula>
    </cfRule>
  </conditionalFormatting>
  <conditionalFormatting sqref="F11">
    <cfRule type="expression" dxfId="215" priority="57">
      <formula>ISBLANK(surface_water)</formula>
    </cfRule>
  </conditionalFormatting>
  <conditionalFormatting sqref="G11">
    <cfRule type="expression" dxfId="214" priority="56">
      <formula>ISBLANK(surface_water)</formula>
    </cfRule>
  </conditionalFormatting>
  <conditionalFormatting sqref="E48">
    <cfRule type="expression" dxfId="213" priority="16">
      <formula>ISBLANK(surface_water)</formula>
    </cfRule>
  </conditionalFormatting>
  <conditionalFormatting sqref="D10:S30">
    <cfRule type="cellIs" dxfId="212" priority="15" operator="equal">
      <formula>0</formula>
    </cfRule>
  </conditionalFormatting>
  <conditionalFormatting sqref="P22:Q25">
    <cfRule type="expression" dxfId="211" priority="14">
      <formula>AND(ISNUMBER(P22),P22&gt;1)</formula>
    </cfRule>
  </conditionalFormatting>
  <conditionalFormatting sqref="Q22:Q25">
    <cfRule type="expression" dxfId="210" priority="13">
      <formula>AND(ISNUMBER(Q22),Q22&gt;1)</formula>
    </cfRule>
  </conditionalFormatting>
  <conditionalFormatting sqref="P27:Q27">
    <cfRule type="expression" dxfId="209" priority="12">
      <formula>AND(ISNUMBER(P27),P27&gt;1)</formula>
    </cfRule>
  </conditionalFormatting>
  <conditionalFormatting sqref="Q27">
    <cfRule type="expression" dxfId="208" priority="11">
      <formula>AND(ISNUMBER(Q27),Q27&gt;1)</formula>
    </cfRule>
  </conditionalFormatting>
  <conditionalFormatting sqref="P29:Q30">
    <cfRule type="expression" dxfId="207" priority="10">
      <formula>AND(ISNUMBER(P29),P29&gt;1)</formula>
    </cfRule>
  </conditionalFormatting>
  <conditionalFormatting sqref="Q29:Q30">
    <cfRule type="expression" dxfId="206" priority="9">
      <formula>AND(ISNUMBER(Q29),Q29&gt;1)</formula>
    </cfRule>
  </conditionalFormatting>
  <conditionalFormatting sqref="S10:S20">
    <cfRule type="expression" dxfId="205" priority="8">
      <formula>AND(ISNUMBER(S10),S10&gt;1)</formula>
    </cfRule>
  </conditionalFormatting>
  <conditionalFormatting sqref="S10:S20">
    <cfRule type="expression" dxfId="204" priority="7">
      <formula>"$P$10:$Q$30,&gt;1)"</formula>
    </cfRule>
  </conditionalFormatting>
  <conditionalFormatting sqref="S22:S25">
    <cfRule type="expression" dxfId="203" priority="6">
      <formula>AND(ISNUMBER(S22),S22&gt;1)</formula>
    </cfRule>
  </conditionalFormatting>
  <conditionalFormatting sqref="S22:S25">
    <cfRule type="expression" dxfId="202" priority="5">
      <formula>"$P$10:$Q$30,&gt;1)"</formula>
    </cfRule>
  </conditionalFormatting>
  <conditionalFormatting sqref="S27">
    <cfRule type="expression" dxfId="201" priority="4">
      <formula>AND(ISNUMBER(S27),S27&gt;1)</formula>
    </cfRule>
  </conditionalFormatting>
  <conditionalFormatting sqref="S27">
    <cfRule type="expression" dxfId="200" priority="3">
      <formula>"$P$10:$Q$30,&gt;1)"</formula>
    </cfRule>
  </conditionalFormatting>
  <conditionalFormatting sqref="S29:S30">
    <cfRule type="expression" dxfId="199" priority="2">
      <formula>AND(ISNUMBER(S29),S29&gt;1)</formula>
    </cfRule>
  </conditionalFormatting>
  <conditionalFormatting sqref="S29:S30">
    <cfRule type="expression" dxfId="198" priority="1">
      <formula>"$P$10:$Q$30,&gt;1)"</formula>
    </cfRule>
  </conditionalFormatting>
  <pageMargins left="0.7" right="0.7" top="0.75" bottom="0.75" header="0.3" footer="0.3"/>
  <pageSetup paperSize="119" scale="22" orientation="landscape" verticalDpi="1200" r:id="rId1"/>
  <headerFooter>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5B77-B256-4BBD-9F17-2D886164ACC5}">
  <sheetPr>
    <tabColor rgb="FFFFFFCC"/>
    <pageSetUpPr fitToPage="1"/>
  </sheetPr>
  <dimension ref="B2:W60"/>
  <sheetViews>
    <sheetView view="pageBreakPreview" zoomScale="85" zoomScaleNormal="70" zoomScaleSheetLayoutView="85" zoomScalePageLayoutView="25" workbookViewId="0">
      <selection activeCell="B6" sqref="B6:B8"/>
    </sheetView>
  </sheetViews>
  <sheetFormatPr defaultColWidth="9.21875" defaultRowHeight="13.2" outlineLevelCol="1"/>
  <cols>
    <col min="1" max="1" width="1.77734375" style="14" customWidth="1"/>
    <col min="2" max="2" width="25.21875" style="14" customWidth="1"/>
    <col min="3" max="3" width="9.21875" style="14" customWidth="1"/>
    <col min="4" max="5" width="10.77734375" style="14" customWidth="1"/>
    <col min="6" max="7" width="10.77734375" style="14" customWidth="1" outlineLevel="1"/>
    <col min="8" max="8" width="12" style="14" customWidth="1"/>
    <col min="9" max="9" width="12.44140625" style="14" customWidth="1"/>
    <col min="10" max="10" width="11" style="14" customWidth="1"/>
    <col min="11" max="11" width="12.44140625" style="14" customWidth="1"/>
    <col min="12" max="12" width="11" style="14" customWidth="1"/>
    <col min="13" max="14" width="12.44140625" style="14" customWidth="1"/>
    <col min="15" max="16" width="11" style="14" customWidth="1"/>
    <col min="17" max="17" width="11.21875" style="14" customWidth="1"/>
    <col min="18" max="19" width="14.21875" style="14" customWidth="1" outlineLevel="1"/>
    <col min="20" max="20" width="14.21875" style="14" customWidth="1"/>
    <col min="21" max="23" width="11" style="14" customWidth="1"/>
    <col min="24" max="24" width="12.77734375" style="14" customWidth="1"/>
    <col min="25" max="25" width="14.21875" style="14" customWidth="1"/>
    <col min="26" max="26" width="13.21875" style="14" customWidth="1"/>
    <col min="27" max="27" width="5.77734375" style="14" customWidth="1"/>
    <col min="28" max="16384" width="9.21875" style="14"/>
  </cols>
  <sheetData>
    <row r="2" spans="2:20">
      <c r="B2" s="34" t="str">
        <f>Site</f>
        <v>Test Site #1</v>
      </c>
      <c r="C2" s="15"/>
    </row>
    <row r="3" spans="2:20">
      <c r="B3" s="50" t="str">
        <f>Title9</f>
        <v xml:space="preserve">Table 9: Exposure Assessment and Hazard Characterization </v>
      </c>
      <c r="C3" s="15"/>
      <c r="E3" s="19"/>
      <c r="F3" s="19"/>
      <c r="G3" s="19"/>
      <c r="H3" s="19"/>
    </row>
    <row r="4" spans="2:20">
      <c r="B4" s="15" t="s">
        <v>28</v>
      </c>
      <c r="C4" s="93" t="str">
        <f>Bird2</f>
        <v>American Woodcock</v>
      </c>
      <c r="J4" s="15"/>
      <c r="K4" s="15"/>
      <c r="L4" s="15"/>
      <c r="M4" s="15"/>
      <c r="N4" s="15"/>
      <c r="O4" s="15"/>
      <c r="P4" s="15"/>
      <c r="Q4" s="15"/>
      <c r="R4" s="15"/>
    </row>
    <row r="5" spans="2:20">
      <c r="B5" s="15"/>
      <c r="C5" s="93"/>
      <c r="J5" s="15"/>
      <c r="K5" s="15"/>
      <c r="L5" s="15"/>
      <c r="M5" s="15"/>
      <c r="N5" s="15"/>
      <c r="O5" s="15"/>
      <c r="P5" s="15"/>
      <c r="Q5" s="15"/>
      <c r="R5" s="15"/>
    </row>
    <row r="6" spans="2:20" ht="23.25" customHeight="1">
      <c r="B6" s="492" t="s">
        <v>52</v>
      </c>
      <c r="C6" s="495" t="s">
        <v>17</v>
      </c>
      <c r="D6" s="496" t="s">
        <v>369</v>
      </c>
      <c r="E6" s="490"/>
      <c r="F6" s="490" t="s">
        <v>432</v>
      </c>
      <c r="G6" s="490"/>
      <c r="H6" s="490" t="s">
        <v>370</v>
      </c>
      <c r="I6" s="490"/>
      <c r="J6" s="490" t="s">
        <v>371</v>
      </c>
      <c r="K6" s="490"/>
      <c r="L6" s="486" t="s">
        <v>374</v>
      </c>
      <c r="M6" s="486" t="s">
        <v>374</v>
      </c>
      <c r="N6" s="486" t="s">
        <v>84</v>
      </c>
      <c r="O6" s="486" t="s">
        <v>83</v>
      </c>
      <c r="P6" s="486" t="s">
        <v>380</v>
      </c>
      <c r="Q6" s="486" t="s">
        <v>381</v>
      </c>
      <c r="R6" s="486" t="s">
        <v>135</v>
      </c>
      <c r="S6" s="486" t="s">
        <v>155</v>
      </c>
      <c r="T6" s="486" t="s">
        <v>382</v>
      </c>
    </row>
    <row r="7" spans="2:20" ht="15.6">
      <c r="B7" s="493"/>
      <c r="C7" s="495"/>
      <c r="D7" s="134" t="s">
        <v>190</v>
      </c>
      <c r="E7" s="265" t="s">
        <v>449</v>
      </c>
      <c r="F7" s="134" t="s">
        <v>190</v>
      </c>
      <c r="G7" s="265" t="s">
        <v>452</v>
      </c>
      <c r="H7" s="134" t="s">
        <v>190</v>
      </c>
      <c r="I7" s="135" t="s">
        <v>157</v>
      </c>
      <c r="J7" s="134" t="s">
        <v>190</v>
      </c>
      <c r="K7" s="265" t="s">
        <v>450</v>
      </c>
      <c r="L7" s="486"/>
      <c r="M7" s="486"/>
      <c r="N7" s="486"/>
      <c r="O7" s="486"/>
      <c r="P7" s="486"/>
      <c r="Q7" s="486"/>
      <c r="R7" s="486"/>
      <c r="S7" s="486"/>
      <c r="T7" s="486"/>
    </row>
    <row r="8" spans="2:20">
      <c r="B8" s="494"/>
      <c r="C8" s="495"/>
      <c r="D8" s="136" t="s">
        <v>91</v>
      </c>
      <c r="E8" s="137" t="s">
        <v>134</v>
      </c>
      <c r="F8" s="266" t="s">
        <v>451</v>
      </c>
      <c r="G8" s="137" t="s">
        <v>134</v>
      </c>
      <c r="H8" s="136" t="s">
        <v>131</v>
      </c>
      <c r="I8" s="137" t="s">
        <v>134</v>
      </c>
      <c r="J8" s="136" t="s">
        <v>131</v>
      </c>
      <c r="K8" s="137" t="s">
        <v>134</v>
      </c>
      <c r="L8" s="137" t="s">
        <v>134</v>
      </c>
      <c r="M8" s="137" t="s">
        <v>18</v>
      </c>
      <c r="N8" s="137" t="s">
        <v>18</v>
      </c>
      <c r="O8" s="137" t="s">
        <v>18</v>
      </c>
      <c r="P8" s="137" t="s">
        <v>19</v>
      </c>
      <c r="Q8" s="138" t="s">
        <v>19</v>
      </c>
      <c r="R8" s="137" t="s">
        <v>18</v>
      </c>
      <c r="S8" s="137" t="s">
        <v>19</v>
      </c>
      <c r="T8" s="137"/>
    </row>
    <row r="9" spans="2:20">
      <c r="B9" s="82" t="s">
        <v>75</v>
      </c>
      <c r="C9" s="125"/>
      <c r="D9" s="67"/>
      <c r="E9" s="67"/>
      <c r="F9" s="67"/>
      <c r="G9" s="67"/>
      <c r="H9" s="67"/>
      <c r="I9" s="67"/>
      <c r="J9" s="67"/>
      <c r="K9" s="67"/>
      <c r="L9" s="67"/>
      <c r="M9" s="67"/>
      <c r="N9" s="67"/>
      <c r="O9" s="67"/>
      <c r="P9" s="67"/>
      <c r="Q9" s="67"/>
      <c r="R9" s="67"/>
      <c r="S9" s="67"/>
      <c r="T9" s="84"/>
    </row>
    <row r="10" spans="2:20">
      <c r="B10" s="79" t="s">
        <v>59</v>
      </c>
      <c r="C10" s="39">
        <v>1</v>
      </c>
      <c r="D10" s="94">
        <f>S_PFBA</f>
        <v>1000</v>
      </c>
      <c r="E10" s="95">
        <f t="shared" ref="E10:E20" si="0">IFERROR(D10*$C10*B2_fir*B2_AUF*B2_Pso/B2_bw,"--")</f>
        <v>12.218020855578413</v>
      </c>
      <c r="F10" s="95">
        <f>W_PFBA</f>
        <v>10</v>
      </c>
      <c r="G10" s="95">
        <f t="shared" ref="G10:G20" si="1">IFERROR(F10*B2_dwi*B2_AUF/B2_bw,"--")</f>
        <v>1.0000000000000002</v>
      </c>
      <c r="H10" s="95">
        <f>VLOOKUP($B10,EPCs!$B$5:$G$28,3,FALSE)</f>
        <v>22000</v>
      </c>
      <c r="I10" s="95">
        <f t="shared" ref="I10:I20" si="2">IFERROR(H10*B2_FIRw*B2_AUF*B2_Pveg/B2_bw,"--")</f>
        <v>781.59654070069473</v>
      </c>
      <c r="J10" s="95" t="str">
        <f>VLOOKUP($B10,EPCs!$B$5:$G$28,5,FALSE)</f>
        <v>n/a</v>
      </c>
      <c r="K10" s="95" t="str">
        <f t="shared" ref="K10:K20" si="3">IFERROR(J10*B2_FIRw*B2_AUF*B2_Pinv/B2_bw,"--")</f>
        <v>--</v>
      </c>
      <c r="L10" s="95">
        <f>SUM(E10,G10,I10,K10)</f>
        <v>794.81456155627313</v>
      </c>
      <c r="M10" s="95">
        <f>L10/10^6</f>
        <v>7.9481456155627319E-4</v>
      </c>
      <c r="N10" s="95" t="str">
        <f>VLOOKUP($B10,TRVs_birds!$B$5:$J$28,2,FALSE)</f>
        <v>No TRV</v>
      </c>
      <c r="O10" s="95" t="str">
        <f>VLOOKUP($B10,TRVs_birds!$B$5:$J$28,5,FALSE)</f>
        <v>No TRV</v>
      </c>
      <c r="P10" s="96" t="str">
        <f>IF(OR($M10=0,ISTEXT(N10)),"--",$M10/N10)</f>
        <v>--</v>
      </c>
      <c r="Q10" s="96" t="str">
        <f>IF(OR($M10=0,ISTEXT(O10)),"--",$M10/O10)</f>
        <v>--</v>
      </c>
      <c r="R10" s="395">
        <f>IF(ISBLANK(VLOOKUP($B10,TRVs_birds!$B$5:$J$28,8,FALSE)),"--",VLOOKUP($B10,TRVs_birds!$B$5:$J$28,8,FALSE))</f>
        <v>1</v>
      </c>
      <c r="S10" s="96">
        <f>IF(OR($M10=0,ISTEXT(R10)),"--",$M10/R10)</f>
        <v>7.9481456155627319E-4</v>
      </c>
      <c r="T10" s="361" t="str">
        <f>IF(AND(H10="n/a",ISNUMBER($C$41),$C$41&gt;0),"PU",IF(AND(J10="n/a",ISNUMBER($C$42),$C$42&gt;0),"PU",""))</f>
        <v>PU</v>
      </c>
    </row>
    <row r="11" spans="2:20">
      <c r="B11" s="80" t="s">
        <v>60</v>
      </c>
      <c r="C11" s="39">
        <v>1</v>
      </c>
      <c r="D11" s="94">
        <f>S_PFPeA</f>
        <v>1000</v>
      </c>
      <c r="E11" s="95">
        <f t="shared" si="0"/>
        <v>12.218020855578413</v>
      </c>
      <c r="F11" s="95">
        <f>W_PFPeA</f>
        <v>10</v>
      </c>
      <c r="G11" s="95">
        <f t="shared" si="1"/>
        <v>1.0000000000000002</v>
      </c>
      <c r="H11" s="95">
        <f>VLOOKUP($B11,EPCs!$B$5:$G$28,3,FALSE)</f>
        <v>130000</v>
      </c>
      <c r="I11" s="95">
        <f t="shared" si="2"/>
        <v>4618.5250132313786</v>
      </c>
      <c r="J11" s="95">
        <f>VLOOKUP($B11,EPCs!$B$5:$G$28,5,FALSE)</f>
        <v>340</v>
      </c>
      <c r="K11" s="95">
        <f t="shared" si="3"/>
        <v>108.71297338836935</v>
      </c>
      <c r="L11" s="95">
        <f t="shared" ref="L11:L30" si="4">SUM(E11,G11,I11,K11)</f>
        <v>4740.4560074753263</v>
      </c>
      <c r="M11" s="95">
        <f t="shared" ref="M11:M30" si="5">L11/10^6</f>
        <v>4.7404560074753264E-3</v>
      </c>
      <c r="N11" s="95" t="str">
        <f>VLOOKUP($B11,TRVs_birds!$B$5:$J$28,2,FALSE)</f>
        <v>No TRV</v>
      </c>
      <c r="O11" s="95" t="str">
        <f>VLOOKUP($B11,TRVs_birds!$B$5:$J$28,5,FALSE)</f>
        <v>No TRV</v>
      </c>
      <c r="P11" s="96" t="str">
        <f t="shared" ref="P11:Q20" si="6">IF(OR($M11=0,ISTEXT(N11)),"--",$M11/N11)</f>
        <v>--</v>
      </c>
      <c r="Q11" s="96" t="str">
        <f t="shared" si="6"/>
        <v>--</v>
      </c>
      <c r="R11" s="395">
        <f>IF(ISBLANK(VLOOKUP($B11,TRVs_birds!$B$5:$J$28,8,FALSE)),"--",VLOOKUP($B11,TRVs_birds!$B$5:$J$28,8,FALSE))</f>
        <v>2</v>
      </c>
      <c r="S11" s="96">
        <f t="shared" ref="S11:S20" si="7">IF(OR($M11=0,ISTEXT(R11)),"--",$M11/R11)</f>
        <v>2.3702280037376632E-3</v>
      </c>
      <c r="T11" s="283" t="str">
        <f t="shared" ref="T11:T30" si="8">IF(AND(H11="n/a",ISNUMBER($C$41),$C$41&gt;0),"PU",IF(AND(J11="n/a",ISNUMBER($C$42),$C$42&gt;0),"PU",""))</f>
        <v/>
      </c>
    </row>
    <row r="12" spans="2:20">
      <c r="B12" s="80" t="s">
        <v>61</v>
      </c>
      <c r="C12" s="39">
        <v>1</v>
      </c>
      <c r="D12" s="94">
        <f>S_PFHxA</f>
        <v>2000</v>
      </c>
      <c r="E12" s="95">
        <f t="shared" si="0"/>
        <v>24.436041711156825</v>
      </c>
      <c r="F12" s="95">
        <f>W_PFHxA</f>
        <v>10</v>
      </c>
      <c r="G12" s="95">
        <f t="shared" si="1"/>
        <v>1.0000000000000002</v>
      </c>
      <c r="H12" s="95">
        <f>VLOOKUP($B12,EPCs!$B$5:$G$28,3,FALSE)</f>
        <v>5</v>
      </c>
      <c r="I12" s="95">
        <f t="shared" si="2"/>
        <v>0.17763557743197611</v>
      </c>
      <c r="J12" s="95">
        <f>VLOOKUP($B12,EPCs!$B$5:$G$28,5,FALSE)</f>
        <v>60</v>
      </c>
      <c r="K12" s="95">
        <f t="shared" si="3"/>
        <v>19.184642362653417</v>
      </c>
      <c r="L12" s="95">
        <f t="shared" si="4"/>
        <v>44.798319651242217</v>
      </c>
      <c r="M12" s="95">
        <f t="shared" si="5"/>
        <v>4.4798319651242216E-5</v>
      </c>
      <c r="N12" s="95" t="str">
        <f>VLOOKUP($B12,TRVs_birds!$B$5:$J$28,2,FALSE)</f>
        <v>No TRV</v>
      </c>
      <c r="O12" s="95" t="str">
        <f>VLOOKUP($B12,TRVs_birds!$B$5:$J$28,5,FALSE)</f>
        <v>No TRV</v>
      </c>
      <c r="P12" s="96" t="str">
        <f t="shared" si="6"/>
        <v>--</v>
      </c>
      <c r="Q12" s="96" t="str">
        <f t="shared" si="6"/>
        <v>--</v>
      </c>
      <c r="R12" s="395">
        <f>IF(ISBLANK(VLOOKUP($B12,TRVs_birds!$B$5:$J$28,8,FALSE)),"--",VLOOKUP($B12,TRVs_birds!$B$5:$J$28,8,FALSE))</f>
        <v>3</v>
      </c>
      <c r="S12" s="96">
        <f t="shared" si="7"/>
        <v>1.4932773217080739E-5</v>
      </c>
      <c r="T12" s="283" t="str">
        <f t="shared" si="8"/>
        <v/>
      </c>
    </row>
    <row r="13" spans="2:20">
      <c r="B13" s="80" t="s">
        <v>62</v>
      </c>
      <c r="C13" s="39">
        <v>1</v>
      </c>
      <c r="D13" s="94">
        <f>S_PFHpA</f>
        <v>2000</v>
      </c>
      <c r="E13" s="95">
        <f t="shared" si="0"/>
        <v>24.436041711156825</v>
      </c>
      <c r="F13" s="95">
        <f>W_PFHpA</f>
        <v>30</v>
      </c>
      <c r="G13" s="95">
        <f t="shared" si="1"/>
        <v>3.0000000000000004</v>
      </c>
      <c r="H13" s="95">
        <f>VLOOKUP($B13,EPCs!$B$5:$G$28,3,FALSE)</f>
        <v>18800</v>
      </c>
      <c r="I13" s="95">
        <f t="shared" si="2"/>
        <v>667.90977114423004</v>
      </c>
      <c r="J13" s="95">
        <f>VLOOKUP($B13,EPCs!$B$5:$G$28,5,FALSE)</f>
        <v>2400</v>
      </c>
      <c r="K13" s="95">
        <f t="shared" si="3"/>
        <v>767.3856945061367</v>
      </c>
      <c r="L13" s="95">
        <f t="shared" si="4"/>
        <v>1462.7315073615237</v>
      </c>
      <c r="M13" s="95">
        <f t="shared" si="5"/>
        <v>1.4627315073615236E-3</v>
      </c>
      <c r="N13" s="95" t="str">
        <f>VLOOKUP($B13,TRVs_birds!$B$5:$J$28,2,FALSE)</f>
        <v>No TRV</v>
      </c>
      <c r="O13" s="95" t="str">
        <f>VLOOKUP($B13,TRVs_birds!$B$5:$J$28,5,FALSE)</f>
        <v>No TRV</v>
      </c>
      <c r="P13" s="96" t="str">
        <f t="shared" si="6"/>
        <v>--</v>
      </c>
      <c r="Q13" s="96" t="str">
        <f t="shared" si="6"/>
        <v>--</v>
      </c>
      <c r="R13" s="395">
        <f>IF(ISBLANK(VLOOKUP($B13,TRVs_birds!$B$5:$J$28,8,FALSE)),"--",VLOOKUP($B13,TRVs_birds!$B$5:$J$28,8,FALSE))</f>
        <v>4</v>
      </c>
      <c r="S13" s="96">
        <f t="shared" si="7"/>
        <v>3.6568287684038089E-4</v>
      </c>
      <c r="T13" s="283" t="str">
        <f t="shared" si="8"/>
        <v/>
      </c>
    </row>
    <row r="14" spans="2:20">
      <c r="B14" s="80" t="s">
        <v>38</v>
      </c>
      <c r="C14" s="39">
        <v>1</v>
      </c>
      <c r="D14" s="94">
        <f>S_PFOA</f>
        <v>3000</v>
      </c>
      <c r="E14" s="95">
        <f t="shared" si="0"/>
        <v>36.654062566735242</v>
      </c>
      <c r="F14" s="95">
        <f>W_PFOA</f>
        <v>10</v>
      </c>
      <c r="G14" s="95">
        <f t="shared" si="1"/>
        <v>1.0000000000000002</v>
      </c>
      <c r="H14" s="95">
        <f>VLOOKUP($B14,EPCs!$B$5:$G$28,3,FALSE)</f>
        <v>10</v>
      </c>
      <c r="I14" s="95">
        <f t="shared" si="2"/>
        <v>0.35527115486395222</v>
      </c>
      <c r="J14" s="95">
        <f>VLOOKUP($B14,EPCs!$B$5:$G$28,5,FALSE)</f>
        <v>1</v>
      </c>
      <c r="K14" s="95">
        <f t="shared" si="3"/>
        <v>0.31974403937755697</v>
      </c>
      <c r="L14" s="95">
        <f t="shared" si="4"/>
        <v>38.329077760976745</v>
      </c>
      <c r="M14" s="95">
        <f t="shared" si="5"/>
        <v>3.8329077760976747E-5</v>
      </c>
      <c r="N14" s="95">
        <f>VLOOKUP($B14,TRVs_birds!$B$5:$J$28,2,FALSE)</f>
        <v>1</v>
      </c>
      <c r="O14" s="95" t="str">
        <f>VLOOKUP($B14,TRVs_birds!$B$5:$J$28,5,FALSE)</f>
        <v>No TRV</v>
      </c>
      <c r="P14" s="96">
        <f t="shared" si="6"/>
        <v>3.8329077760976747E-5</v>
      </c>
      <c r="Q14" s="96" t="str">
        <f t="shared" si="6"/>
        <v>--</v>
      </c>
      <c r="R14" s="395" t="str">
        <f>IF(ISBLANK(VLOOKUP($B14,TRVs_birds!$B$5:$J$28,8,FALSE)),"--",VLOOKUP($B14,TRVs_birds!$B$5:$J$28,8,FALSE))</f>
        <v>--</v>
      </c>
      <c r="S14" s="96" t="str">
        <f t="shared" si="7"/>
        <v>--</v>
      </c>
      <c r="T14" s="283" t="str">
        <f t="shared" si="8"/>
        <v/>
      </c>
    </row>
    <row r="15" spans="2:20">
      <c r="B15" s="80" t="s">
        <v>63</v>
      </c>
      <c r="C15" s="39">
        <v>1</v>
      </c>
      <c r="D15" s="94">
        <f>S_PFNA</f>
        <v>3000</v>
      </c>
      <c r="E15" s="95">
        <f t="shared" si="0"/>
        <v>36.654062566735242</v>
      </c>
      <c r="F15" s="95">
        <f>W_PFNA</f>
        <v>10</v>
      </c>
      <c r="G15" s="95">
        <f t="shared" si="1"/>
        <v>1.0000000000000002</v>
      </c>
      <c r="H15" s="95">
        <f>VLOOKUP($B15,EPCs!$B$5:$G$28,3,FALSE)</f>
        <v>3600</v>
      </c>
      <c r="I15" s="95">
        <f t="shared" si="2"/>
        <v>127.8976157510228</v>
      </c>
      <c r="J15" s="95">
        <f>VLOOKUP($B15,EPCs!$B$5:$G$28,5,FALSE)</f>
        <v>27300</v>
      </c>
      <c r="K15" s="95">
        <f t="shared" si="3"/>
        <v>8729.0122750073042</v>
      </c>
      <c r="L15" s="95">
        <f t="shared" si="4"/>
        <v>8894.5639533250614</v>
      </c>
      <c r="M15" s="95">
        <f t="shared" si="5"/>
        <v>8.8945639533250607E-3</v>
      </c>
      <c r="N15" s="95" t="str">
        <f>VLOOKUP($B15,TRVs_birds!$B$5:$J$28,2,FALSE)</f>
        <v>No TRV</v>
      </c>
      <c r="O15" s="95" t="str">
        <f>VLOOKUP($B15,TRVs_birds!$B$5:$J$28,5,FALSE)</f>
        <v>No TRV</v>
      </c>
      <c r="P15" s="96" t="str">
        <f t="shared" si="6"/>
        <v>--</v>
      </c>
      <c r="Q15" s="96" t="str">
        <f t="shared" si="6"/>
        <v>--</v>
      </c>
      <c r="R15" s="395" t="str">
        <f>IF(ISBLANK(VLOOKUP($B15,TRVs_birds!$B$5:$J$28,8,FALSE)),"--",VLOOKUP($B15,TRVs_birds!$B$5:$J$28,8,FALSE))</f>
        <v>--</v>
      </c>
      <c r="S15" s="96" t="str">
        <f t="shared" si="7"/>
        <v>--</v>
      </c>
      <c r="T15" s="283" t="str">
        <f t="shared" si="8"/>
        <v/>
      </c>
    </row>
    <row r="16" spans="2:20">
      <c r="B16" s="80" t="s">
        <v>64</v>
      </c>
      <c r="C16" s="39">
        <v>1</v>
      </c>
      <c r="D16" s="94">
        <f>S_PFDA</f>
        <v>4000</v>
      </c>
      <c r="E16" s="95">
        <f t="shared" si="0"/>
        <v>48.872083422313651</v>
      </c>
      <c r="F16" s="95">
        <f>W_PFDA</f>
        <v>10</v>
      </c>
      <c r="G16" s="95">
        <f t="shared" si="1"/>
        <v>1.0000000000000002</v>
      </c>
      <c r="H16" s="95">
        <f>VLOOKUP($B16,EPCs!$B$5:$G$28,3,FALSE)</f>
        <v>3360</v>
      </c>
      <c r="I16" s="95">
        <f t="shared" si="2"/>
        <v>119.37110803428791</v>
      </c>
      <c r="J16" s="95">
        <f>VLOOKUP($B16,EPCs!$B$5:$G$28,5,FALSE)</f>
        <v>104000</v>
      </c>
      <c r="K16" s="95">
        <f t="shared" si="3"/>
        <v>33253.380095265922</v>
      </c>
      <c r="L16" s="95">
        <f t="shared" si="4"/>
        <v>33422.623286722526</v>
      </c>
      <c r="M16" s="95">
        <f t="shared" si="5"/>
        <v>3.3422623286722526E-2</v>
      </c>
      <c r="N16" s="95">
        <f>VLOOKUP($B16,TRVs_birds!$B$5:$J$28,2,FALSE)</f>
        <v>1</v>
      </c>
      <c r="O16" s="95" t="str">
        <f>VLOOKUP($B16,TRVs_birds!$B$5:$J$28,5,FALSE)</f>
        <v>No TRV</v>
      </c>
      <c r="P16" s="96">
        <f t="shared" si="6"/>
        <v>3.3422623286722526E-2</v>
      </c>
      <c r="Q16" s="96" t="str">
        <f t="shared" si="6"/>
        <v>--</v>
      </c>
      <c r="R16" s="395" t="str">
        <f>IF(ISBLANK(VLOOKUP($B16,TRVs_birds!$B$5:$J$28,8,FALSE)),"--",VLOOKUP($B16,TRVs_birds!$B$5:$J$28,8,FALSE))</f>
        <v>--</v>
      </c>
      <c r="S16" s="96" t="str">
        <f t="shared" si="7"/>
        <v>--</v>
      </c>
      <c r="T16" s="283" t="str">
        <f t="shared" si="8"/>
        <v/>
      </c>
    </row>
    <row r="17" spans="2:23">
      <c r="B17" s="80" t="s">
        <v>65</v>
      </c>
      <c r="C17" s="39">
        <v>1</v>
      </c>
      <c r="D17" s="94">
        <f>S_PFUnDA</f>
        <v>4000</v>
      </c>
      <c r="E17" s="95">
        <f t="shared" si="0"/>
        <v>48.872083422313651</v>
      </c>
      <c r="F17" s="95">
        <f>W_PFUnDA</f>
        <v>10</v>
      </c>
      <c r="G17" s="95">
        <f t="shared" si="1"/>
        <v>1.0000000000000002</v>
      </c>
      <c r="H17" s="95">
        <f>VLOOKUP($B17,EPCs!$B$5:$G$28,3,FALSE)</f>
        <v>3040</v>
      </c>
      <c r="I17" s="95">
        <f t="shared" si="2"/>
        <v>108.00243107864146</v>
      </c>
      <c r="J17" s="95">
        <f>VLOOKUP($B17,EPCs!$B$5:$G$28,5,FALSE)</f>
        <v>156000</v>
      </c>
      <c r="K17" s="95">
        <f t="shared" si="3"/>
        <v>49880.070142898876</v>
      </c>
      <c r="L17" s="95">
        <f t="shared" si="4"/>
        <v>50037.944657399828</v>
      </c>
      <c r="M17" s="95">
        <f t="shared" si="5"/>
        <v>5.003794465739983E-2</v>
      </c>
      <c r="N17" s="95" t="str">
        <f>VLOOKUP($B17,TRVs_birds!$B$5:$J$28,2,FALSE)</f>
        <v>No TRV</v>
      </c>
      <c r="O17" s="95" t="str">
        <f>VLOOKUP($B17,TRVs_birds!$B$5:$J$28,5,FALSE)</f>
        <v>No TRV</v>
      </c>
      <c r="P17" s="96" t="str">
        <f t="shared" si="6"/>
        <v>--</v>
      </c>
      <c r="Q17" s="96" t="str">
        <f t="shared" si="6"/>
        <v>--</v>
      </c>
      <c r="R17" s="395" t="str">
        <f>IF(ISBLANK(VLOOKUP($B17,TRVs_birds!$B$5:$J$28,8,FALSE)),"--",VLOOKUP($B17,TRVs_birds!$B$5:$J$28,8,FALSE))</f>
        <v>--</v>
      </c>
      <c r="S17" s="96" t="str">
        <f t="shared" si="7"/>
        <v>--</v>
      </c>
      <c r="T17" s="283" t="str">
        <f t="shared" si="8"/>
        <v/>
      </c>
    </row>
    <row r="18" spans="2:23">
      <c r="B18" s="80" t="s">
        <v>66</v>
      </c>
      <c r="C18" s="39">
        <v>1</v>
      </c>
      <c r="D18" s="94">
        <f>S_PFDoDA</f>
        <v>5000</v>
      </c>
      <c r="E18" s="95">
        <f t="shared" si="0"/>
        <v>61.090104277892067</v>
      </c>
      <c r="F18" s="95">
        <f>W_PFDoDA</f>
        <v>10</v>
      </c>
      <c r="G18" s="95">
        <f t="shared" si="1"/>
        <v>1.0000000000000002</v>
      </c>
      <c r="H18" s="95">
        <f>VLOOKUP($B18,EPCs!$B$5:$G$28,3,FALSE)</f>
        <v>3350</v>
      </c>
      <c r="I18" s="95">
        <f t="shared" si="2"/>
        <v>119.01583687942396</v>
      </c>
      <c r="J18" s="95">
        <f>VLOOKUP($B18,EPCs!$B$5:$G$28,5,FALSE)</f>
        <v>305000</v>
      </c>
      <c r="K18" s="95">
        <f t="shared" si="3"/>
        <v>97521.932010154866</v>
      </c>
      <c r="L18" s="95">
        <f t="shared" si="4"/>
        <v>97703.037951312188</v>
      </c>
      <c r="M18" s="95">
        <f t="shared" si="5"/>
        <v>9.7703037951312188E-2</v>
      </c>
      <c r="N18" s="95" t="str">
        <f>VLOOKUP($B18,TRVs_birds!$B$5:$J$28,2,FALSE)</f>
        <v>No TRV</v>
      </c>
      <c r="O18" s="95" t="str">
        <f>VLOOKUP($B18,TRVs_birds!$B$5:$J$28,5,FALSE)</f>
        <v>No TRV</v>
      </c>
      <c r="P18" s="96" t="str">
        <f t="shared" si="6"/>
        <v>--</v>
      </c>
      <c r="Q18" s="96" t="str">
        <f t="shared" si="6"/>
        <v>--</v>
      </c>
      <c r="R18" s="395" t="str">
        <f>IF(ISBLANK(VLOOKUP($B18,TRVs_birds!$B$5:$J$28,8,FALSE)),"--",VLOOKUP($B18,TRVs_birds!$B$5:$J$28,8,FALSE))</f>
        <v>--</v>
      </c>
      <c r="S18" s="96" t="str">
        <f t="shared" si="7"/>
        <v>--</v>
      </c>
      <c r="T18" s="283" t="str">
        <f t="shared" si="8"/>
        <v/>
      </c>
    </row>
    <row r="19" spans="2:23">
      <c r="B19" s="80" t="s">
        <v>67</v>
      </c>
      <c r="C19" s="39">
        <v>1</v>
      </c>
      <c r="D19" s="94">
        <f>S_PFTrDA</f>
        <v>5000</v>
      </c>
      <c r="E19" s="95">
        <f t="shared" si="0"/>
        <v>61.090104277892067</v>
      </c>
      <c r="F19" s="95">
        <f>W_PFTrDA</f>
        <v>10</v>
      </c>
      <c r="G19" s="95">
        <f t="shared" si="1"/>
        <v>1.0000000000000002</v>
      </c>
      <c r="H19" s="95" t="str">
        <f>VLOOKUP($B19,EPCs!$B$5:$G$28,3,FALSE)</f>
        <v>n/a</v>
      </c>
      <c r="I19" s="95" t="str">
        <f t="shared" si="2"/>
        <v>--</v>
      </c>
      <c r="J19" s="95" t="str">
        <f>VLOOKUP($B19,EPCs!$B$5:$G$28,5,FALSE)</f>
        <v>n/a</v>
      </c>
      <c r="K19" s="95" t="str">
        <f t="shared" si="3"/>
        <v>--</v>
      </c>
      <c r="L19" s="95">
        <f t="shared" si="4"/>
        <v>62.090104277892067</v>
      </c>
      <c r="M19" s="95">
        <f t="shared" si="5"/>
        <v>6.2090104277892063E-5</v>
      </c>
      <c r="N19" s="95" t="str">
        <f>VLOOKUP($B19,TRVs_birds!$B$5:$J$28,2,FALSE)</f>
        <v>No TRV</v>
      </c>
      <c r="O19" s="95" t="str">
        <f>VLOOKUP($B19,TRVs_birds!$B$5:$J$28,5,FALSE)</f>
        <v>No TRV</v>
      </c>
      <c r="P19" s="96" t="str">
        <f t="shared" si="6"/>
        <v>--</v>
      </c>
      <c r="Q19" s="96" t="str">
        <f t="shared" si="6"/>
        <v>--</v>
      </c>
      <c r="R19" s="395" t="str">
        <f>IF(ISBLANK(VLOOKUP($B19,TRVs_birds!$B$5:$J$28,8,FALSE)),"--",VLOOKUP($B19,TRVs_birds!$B$5:$J$28,8,FALSE))</f>
        <v>--</v>
      </c>
      <c r="S19" s="96" t="str">
        <f t="shared" si="7"/>
        <v>--</v>
      </c>
      <c r="T19" s="283" t="str">
        <f t="shared" si="8"/>
        <v>PU</v>
      </c>
    </row>
    <row r="20" spans="2:23">
      <c r="B20" s="80" t="s">
        <v>68</v>
      </c>
      <c r="C20" s="39">
        <v>1</v>
      </c>
      <c r="D20" s="94">
        <f>S_PFTeDA</f>
        <v>6000</v>
      </c>
      <c r="E20" s="95">
        <f t="shared" si="0"/>
        <v>73.308125133470483</v>
      </c>
      <c r="F20" s="95">
        <f>W_PFTeDA</f>
        <v>10</v>
      </c>
      <c r="G20" s="95">
        <f t="shared" si="1"/>
        <v>1.0000000000000002</v>
      </c>
      <c r="H20" s="95">
        <f>VLOOKUP($B20,EPCs!$B$5:$G$28,3,FALSE)</f>
        <v>10</v>
      </c>
      <c r="I20" s="95">
        <f t="shared" si="2"/>
        <v>0.35527115486395222</v>
      </c>
      <c r="J20" s="95">
        <f>VLOOKUP($B20,EPCs!$B$5:$G$28,5,FALSE)</f>
        <v>25</v>
      </c>
      <c r="K20" s="95">
        <f t="shared" si="3"/>
        <v>7.9936009844389231</v>
      </c>
      <c r="L20" s="95">
        <f t="shared" si="4"/>
        <v>82.656997272773367</v>
      </c>
      <c r="M20" s="95">
        <f t="shared" si="5"/>
        <v>8.2656997272773371E-5</v>
      </c>
      <c r="N20" s="95" t="str">
        <f>VLOOKUP($B20,TRVs_birds!$B$5:$J$28,2,FALSE)</f>
        <v>No TRV</v>
      </c>
      <c r="O20" s="95" t="str">
        <f>VLOOKUP($B20,TRVs_birds!$B$5:$J$28,5,FALSE)</f>
        <v>No TRV</v>
      </c>
      <c r="P20" s="96" t="str">
        <f t="shared" si="6"/>
        <v>--</v>
      </c>
      <c r="Q20" s="96" t="str">
        <f t="shared" si="6"/>
        <v>--</v>
      </c>
      <c r="R20" s="395" t="str">
        <f>IF(ISBLANK(VLOOKUP($B20,TRVs_birds!$B$5:$J$28,8,FALSE)),"--",VLOOKUP($B20,TRVs_birds!$B$5:$J$28,8,FALSE))</f>
        <v>--</v>
      </c>
      <c r="S20" s="96" t="str">
        <f t="shared" si="7"/>
        <v>--</v>
      </c>
      <c r="T20" s="283" t="str">
        <f t="shared" si="8"/>
        <v/>
      </c>
    </row>
    <row r="21" spans="2:23">
      <c r="B21" s="202" t="s">
        <v>76</v>
      </c>
      <c r="C21" s="125"/>
      <c r="D21" s="67"/>
      <c r="E21" s="67"/>
      <c r="F21" s="67"/>
      <c r="G21" s="67"/>
      <c r="H21" s="67"/>
      <c r="I21" s="67"/>
      <c r="J21" s="67"/>
      <c r="K21" s="67"/>
      <c r="L21" s="67"/>
      <c r="M21" s="67"/>
      <c r="N21" s="67"/>
      <c r="O21" s="67"/>
      <c r="P21" s="67"/>
      <c r="Q21" s="67"/>
      <c r="R21" s="67"/>
      <c r="S21" s="67"/>
      <c r="T21" s="396"/>
    </row>
    <row r="22" spans="2:23">
      <c r="B22" s="80" t="s">
        <v>69</v>
      </c>
      <c r="C22" s="39">
        <v>1</v>
      </c>
      <c r="D22" s="94">
        <f>S_PFBS</f>
        <v>1000</v>
      </c>
      <c r="E22" s="95">
        <f>IFERROR(D22*$C22*B2_fir*B2_AUF*B2_Pso/B2_bw,"--")</f>
        <v>12.218020855578413</v>
      </c>
      <c r="F22" s="95">
        <f>W_PFBS</f>
        <v>10</v>
      </c>
      <c r="G22" s="95">
        <f>IFERROR(F22*B2_dwi*B2_AUF/B2_bw,"--")</f>
        <v>1.0000000000000002</v>
      </c>
      <c r="H22" s="95">
        <f>VLOOKUP($B22,EPCs!$B$5:$G$28,3,FALSE)</f>
        <v>40000</v>
      </c>
      <c r="I22" s="95">
        <f>IFERROR(H22*B2_FIRw*B2_AUF*B2_Pveg/B2_bw,"--")</f>
        <v>1421.0846194558085</v>
      </c>
      <c r="J22" s="95">
        <f>VLOOKUP($B22,EPCs!$B$5:$G$28,5,FALSE)</f>
        <v>5</v>
      </c>
      <c r="K22" s="95">
        <f>IFERROR(J22*B2_FIRw*B2_AUF*B2_Pinv/B2_bw,"--")</f>
        <v>1.5987201968877847</v>
      </c>
      <c r="L22" s="95">
        <f t="shared" si="4"/>
        <v>1435.9013605082748</v>
      </c>
      <c r="M22" s="95">
        <f t="shared" si="5"/>
        <v>1.4359013605082748E-3</v>
      </c>
      <c r="N22" s="95">
        <f>VLOOKUP($B22,TRVs_birds!$B$5:$J$28,2,FALSE)</f>
        <v>88</v>
      </c>
      <c r="O22" s="95" t="str">
        <f>VLOOKUP($B22,TRVs_birds!$B$5:$J$28,5,FALSE)</f>
        <v>No TRV</v>
      </c>
      <c r="P22" s="96">
        <f t="shared" ref="P22:Q25" si="9">IF(OR($M22=0,ISTEXT(N22)),"--",$M22/N22)</f>
        <v>1.6317060914866758E-5</v>
      </c>
      <c r="Q22" s="96" t="str">
        <f t="shared" si="9"/>
        <v>--</v>
      </c>
      <c r="R22" s="395" t="str">
        <f>IF(ISBLANK(VLOOKUP($B22,TRVs_birds!$B$5:$J$28,8,FALSE)),"--",VLOOKUP($B22,TRVs_birds!$B$5:$J$28,8,FALSE))</f>
        <v>--</v>
      </c>
      <c r="S22" s="96" t="str">
        <f t="shared" ref="S22:S25" si="10">IF(OR($M22=0,ISTEXT(R22)),"--",$M22/R22)</f>
        <v>--</v>
      </c>
      <c r="T22" s="283" t="str">
        <f t="shared" si="8"/>
        <v/>
      </c>
    </row>
    <row r="23" spans="2:23">
      <c r="B23" s="80" t="s">
        <v>70</v>
      </c>
      <c r="C23" s="39">
        <v>1</v>
      </c>
      <c r="D23" s="94">
        <f>S_PFHxS</f>
        <v>2000</v>
      </c>
      <c r="E23" s="95">
        <f>IFERROR(D23*$C23*B2_fir*B2_AUF*B2_Pso/B2_bw,"--")</f>
        <v>24.436041711156825</v>
      </c>
      <c r="F23" s="95">
        <f>W_PFHxS</f>
        <v>10</v>
      </c>
      <c r="G23" s="95">
        <f>IFERROR(F23*B2_dwi*B2_AUF/B2_bw,"--")</f>
        <v>1.0000000000000002</v>
      </c>
      <c r="H23" s="95">
        <f>VLOOKUP($B23,EPCs!$B$5:$G$28,3,FALSE)</f>
        <v>10</v>
      </c>
      <c r="I23" s="95">
        <f>IFERROR(H23*B2_FIRw*B2_AUF*B2_Pveg/B2_bw,"--")</f>
        <v>0.35527115486395222</v>
      </c>
      <c r="J23" s="95">
        <f>VLOOKUP($B23,EPCs!$B$5:$G$28,5,FALSE)</f>
        <v>68000</v>
      </c>
      <c r="K23" s="95">
        <f>IFERROR(J23*B2_FIRw*B2_AUF*B2_Pinv/B2_bw,"--")</f>
        <v>21742.594677673871</v>
      </c>
      <c r="L23" s="95">
        <f t="shared" si="4"/>
        <v>21768.385990539893</v>
      </c>
      <c r="M23" s="95">
        <f t="shared" si="5"/>
        <v>2.1768385990539894E-2</v>
      </c>
      <c r="N23" s="95" t="str">
        <f>VLOOKUP($B23,TRVs_birds!$B$5:$J$28,2,FALSE)</f>
        <v>No TRV</v>
      </c>
      <c r="O23" s="95" t="str">
        <f>VLOOKUP($B23,TRVs_birds!$B$5:$J$28,5,FALSE)</f>
        <v>No TRV</v>
      </c>
      <c r="P23" s="96" t="str">
        <f t="shared" si="9"/>
        <v>--</v>
      </c>
      <c r="Q23" s="96" t="str">
        <f t="shared" si="9"/>
        <v>--</v>
      </c>
      <c r="R23" s="395" t="str">
        <f>IF(ISBLANK(VLOOKUP($B23,TRVs_birds!$B$5:$J$28,8,FALSE)),"--",VLOOKUP($B23,TRVs_birds!$B$5:$J$28,8,FALSE))</f>
        <v>--</v>
      </c>
      <c r="S23" s="96" t="str">
        <f t="shared" si="10"/>
        <v>--</v>
      </c>
      <c r="T23" s="283" t="str">
        <f t="shared" si="8"/>
        <v/>
      </c>
    </row>
    <row r="24" spans="2:23">
      <c r="B24" s="80" t="s">
        <v>37</v>
      </c>
      <c r="C24" s="39">
        <v>1</v>
      </c>
      <c r="D24" s="94">
        <f>S_PFOS</f>
        <v>3000</v>
      </c>
      <c r="E24" s="95">
        <f>IFERROR(D24*$C24*B2_fir*B2_AUF*B2_Pso/B2_bw,"--")</f>
        <v>36.654062566735242</v>
      </c>
      <c r="F24" s="95">
        <f>W_PFOS</f>
        <v>10</v>
      </c>
      <c r="G24" s="95">
        <f>IFERROR(F24*B2_dwi*B2_AUF/B2_bw,"--")</f>
        <v>1.0000000000000002</v>
      </c>
      <c r="H24" s="95">
        <f>VLOOKUP($B24,EPCs!$B$5:$G$28,3,FALSE)</f>
        <v>13800</v>
      </c>
      <c r="I24" s="95">
        <f>IFERROR(H24*B2_FIRw*B2_AUF*B2_Pveg/B2_bw,"--")</f>
        <v>490.27419371225403</v>
      </c>
      <c r="J24" s="95">
        <f>VLOOKUP($B24,EPCs!$B$5:$G$28,5,FALSE)</f>
        <v>8</v>
      </c>
      <c r="K24" s="95">
        <f>IFERROR(J24*B2_FIRw*B2_AUF*B2_Pinv/B2_bw,"--")</f>
        <v>2.5579523150204557</v>
      </c>
      <c r="L24" s="95">
        <f t="shared" si="4"/>
        <v>530.48620859400967</v>
      </c>
      <c r="M24" s="95">
        <f t="shared" si="5"/>
        <v>5.3048620859400962E-4</v>
      </c>
      <c r="N24" s="95">
        <f>VLOOKUP($B24,TRVs_birds!$B$5:$J$28,2,FALSE)</f>
        <v>0.77</v>
      </c>
      <c r="O24" s="95">
        <f>VLOOKUP($B24,TRVs_birds!$B$5:$J$28,5,FALSE)</f>
        <v>2.64</v>
      </c>
      <c r="P24" s="96">
        <f t="shared" si="9"/>
        <v>6.8894312804416828E-4</v>
      </c>
      <c r="Q24" s="96">
        <f t="shared" si="9"/>
        <v>2.0094174567954909E-4</v>
      </c>
      <c r="R24" s="395" t="str">
        <f>IF(ISBLANK(VLOOKUP($B24,TRVs_birds!$B$5:$J$28,8,FALSE)),"--",VLOOKUP($B24,TRVs_birds!$B$5:$J$28,8,FALSE))</f>
        <v>--</v>
      </c>
      <c r="S24" s="96" t="str">
        <f t="shared" si="10"/>
        <v>--</v>
      </c>
      <c r="T24" s="283" t="str">
        <f t="shared" si="8"/>
        <v/>
      </c>
    </row>
    <row r="25" spans="2:23">
      <c r="B25" s="80" t="s">
        <v>71</v>
      </c>
      <c r="C25" s="39">
        <v>1</v>
      </c>
      <c r="D25" s="94">
        <f>S_PFDS</f>
        <v>1000</v>
      </c>
      <c r="E25" s="95">
        <f>IFERROR(D25*$C25*B2_fir*B2_AUF*B2_Pso/B2_bw,"--")</f>
        <v>12.218020855578413</v>
      </c>
      <c r="F25" s="95">
        <f>W_PFDS</f>
        <v>10</v>
      </c>
      <c r="G25" s="95">
        <f>IFERROR(F25*B2_dwi*B2_AUF/B2_bw,"--")</f>
        <v>1.0000000000000002</v>
      </c>
      <c r="H25" s="95">
        <f>VLOOKUP($B25,EPCs!$B$5:$G$28,3,FALSE)</f>
        <v>180</v>
      </c>
      <c r="I25" s="95">
        <f>IFERROR(H25*B2_FIRw*B2_AUF*B2_Pveg/B2_bw,"--")</f>
        <v>6.3948807875511386</v>
      </c>
      <c r="J25" s="95">
        <f>VLOOKUP($B25,EPCs!$B$5:$G$28,5,FALSE)</f>
        <v>1700.0000000000002</v>
      </c>
      <c r="K25" s="95">
        <f>IFERROR(J25*B2_FIRw*B2_AUF*B2_Pinv/B2_bw,"--")</f>
        <v>543.56486694184684</v>
      </c>
      <c r="L25" s="95">
        <f t="shared" si="4"/>
        <v>563.17776858497643</v>
      </c>
      <c r="M25" s="95">
        <f t="shared" si="5"/>
        <v>5.6317776858497647E-4</v>
      </c>
      <c r="N25" s="95" t="str">
        <f>VLOOKUP($B25,TRVs_birds!$B$5:$J$28,2,FALSE)</f>
        <v>No TRV</v>
      </c>
      <c r="O25" s="95" t="str">
        <f>VLOOKUP($B25,TRVs_birds!$B$5:$J$28,5,FALSE)</f>
        <v>No TRV</v>
      </c>
      <c r="P25" s="96" t="str">
        <f t="shared" si="9"/>
        <v>--</v>
      </c>
      <c r="Q25" s="96" t="str">
        <f t="shared" si="9"/>
        <v>--</v>
      </c>
      <c r="R25" s="395" t="str">
        <f>IF(ISBLANK(VLOOKUP($B25,TRVs_birds!$B$5:$J$28,8,FALSE)),"--",VLOOKUP($B25,TRVs_birds!$B$5:$J$28,8,FALSE))</f>
        <v>--</v>
      </c>
      <c r="S25" s="96" t="str">
        <f t="shared" si="10"/>
        <v>--</v>
      </c>
      <c r="T25" s="283" t="str">
        <f t="shared" si="8"/>
        <v/>
      </c>
    </row>
    <row r="26" spans="2:23">
      <c r="B26" s="202" t="s">
        <v>77</v>
      </c>
      <c r="C26" s="125"/>
      <c r="D26" s="67"/>
      <c r="E26" s="67"/>
      <c r="F26" s="67"/>
      <c r="G26" s="67"/>
      <c r="H26" s="67"/>
      <c r="I26" s="67"/>
      <c r="J26" s="67"/>
      <c r="K26" s="67"/>
      <c r="L26" s="67"/>
      <c r="M26" s="67"/>
      <c r="N26" s="67"/>
      <c r="O26" s="67"/>
      <c r="P26" s="67"/>
      <c r="Q26" s="67"/>
      <c r="R26" s="67"/>
      <c r="S26" s="67"/>
      <c r="T26" s="396"/>
    </row>
    <row r="27" spans="2:23">
      <c r="B27" s="80" t="s">
        <v>72</v>
      </c>
      <c r="C27" s="39">
        <v>1</v>
      </c>
      <c r="D27" s="94">
        <f>S_PFOSA</f>
        <v>1000</v>
      </c>
      <c r="E27" s="95">
        <f>IFERROR(D27*$C27*B2_fir*B2_AUF*B2_Pso/B2_bw,"--")</f>
        <v>12.218020855578413</v>
      </c>
      <c r="F27" s="95">
        <f>W_PFOSA</f>
        <v>10</v>
      </c>
      <c r="G27" s="95">
        <f>IFERROR(F27*B2_dwi*B2_AUF/B2_bw,"--")</f>
        <v>1.0000000000000002</v>
      </c>
      <c r="H27" s="95">
        <f>VLOOKUP($B27,EPCs!$B$5:$G$28,3,FALSE)</f>
        <v>33</v>
      </c>
      <c r="I27" s="95">
        <f>IFERROR(H27*B2_FIRw*B2_AUF*B2_Pveg/B2_bw,"--")</f>
        <v>1.1723948110510423</v>
      </c>
      <c r="J27" s="95" t="str">
        <f>VLOOKUP($B27,EPCs!$B$5:$G$28,5,FALSE)</f>
        <v>n/a</v>
      </c>
      <c r="K27" s="95" t="str">
        <f>IFERROR(J27*B2_FIRw*B2_AUF*B2_Pinv/B2_bw,"--")</f>
        <v>--</v>
      </c>
      <c r="L27" s="95">
        <f t="shared" si="4"/>
        <v>14.390415666629455</v>
      </c>
      <c r="M27" s="95">
        <f t="shared" si="5"/>
        <v>1.4390415666629454E-5</v>
      </c>
      <c r="N27" s="95" t="str">
        <f>VLOOKUP($B27,TRVs_birds!$B$5:$J$28,2,FALSE)</f>
        <v>No TRV</v>
      </c>
      <c r="O27" s="95" t="str">
        <f>VLOOKUP($B27,TRVs_birds!$B$5:$J$28,5,FALSE)</f>
        <v>No TRV</v>
      </c>
      <c r="P27" s="96" t="str">
        <f t="shared" ref="P27:Q27" si="11">IF(OR($M27=0,ISTEXT(N27)),"--",$M27/N27)</f>
        <v>--</v>
      </c>
      <c r="Q27" s="96" t="str">
        <f t="shared" si="11"/>
        <v>--</v>
      </c>
      <c r="R27" s="395" t="str">
        <f>IF(ISBLANK(VLOOKUP($B27,TRVs_birds!$B$5:$J$28,8,FALSE)),"--",VLOOKUP($B27,TRVs_birds!$B$5:$J$28,8,FALSE))</f>
        <v>--</v>
      </c>
      <c r="S27" s="96" t="str">
        <f>IF(OR($M27=0,ISTEXT(R27)),"--",$M27/R27)</f>
        <v>--</v>
      </c>
      <c r="T27" s="283" t="str">
        <f t="shared" si="8"/>
        <v>PU</v>
      </c>
    </row>
    <row r="28" spans="2:23">
      <c r="B28" s="202" t="s">
        <v>78</v>
      </c>
      <c r="C28" s="125"/>
      <c r="D28" s="67"/>
      <c r="E28" s="67"/>
      <c r="F28" s="67"/>
      <c r="G28" s="67"/>
      <c r="H28" s="67"/>
      <c r="I28" s="67"/>
      <c r="J28" s="67"/>
      <c r="K28" s="67"/>
      <c r="L28" s="67"/>
      <c r="M28" s="67"/>
      <c r="N28" s="67"/>
      <c r="O28" s="67"/>
      <c r="P28" s="67"/>
      <c r="Q28" s="67"/>
      <c r="R28" s="67"/>
      <c r="S28" s="67"/>
      <c r="T28" s="84"/>
    </row>
    <row r="29" spans="2:23">
      <c r="B29" s="80" t="s">
        <v>73</v>
      </c>
      <c r="C29" s="39">
        <v>1</v>
      </c>
      <c r="D29" s="94">
        <f>S_NEtFOSAA</f>
        <v>1000</v>
      </c>
      <c r="E29" s="95">
        <f>IFERROR(D29*$C29*B2_fir*B2_AUF*B2_Pso/B2_bw,"--")</f>
        <v>12.218020855578413</v>
      </c>
      <c r="F29" s="95">
        <f>W_NEtFOSAA</f>
        <v>10</v>
      </c>
      <c r="G29" s="95">
        <f>IFERROR(F29*B2_dwi*B2_AUF/B2_bw,"--")</f>
        <v>1.0000000000000002</v>
      </c>
      <c r="H29" s="95">
        <f>VLOOKUP($B29,EPCs!$B$5:$G$28,3,FALSE)</f>
        <v>10</v>
      </c>
      <c r="I29" s="95">
        <f>IFERROR(H29*B2_FIRw*B2_AUF*B2_Pveg/B2_bw,"--")</f>
        <v>0.35527115486395222</v>
      </c>
      <c r="J29" s="95">
        <f>VLOOKUP($B29,EPCs!$B$5:$G$28,5,FALSE)</f>
        <v>45</v>
      </c>
      <c r="K29" s="95">
        <f>IFERROR(J29*B2_FIRw*B2_AUF*B2_Pinv/B2_bw,"--")</f>
        <v>14.388481771990062</v>
      </c>
      <c r="L29" s="95">
        <f t="shared" si="4"/>
        <v>27.961773782432427</v>
      </c>
      <c r="M29" s="95">
        <f t="shared" si="5"/>
        <v>2.7961773782432428E-5</v>
      </c>
      <c r="N29" s="95" t="str">
        <f>VLOOKUP($B29,TRVs_birds!$B$5:$J$28,2,FALSE)</f>
        <v>No TRV</v>
      </c>
      <c r="O29" s="95" t="str">
        <f>VLOOKUP($B29,TRVs_birds!$B$5:$J$28,5,FALSE)</f>
        <v>No TRV</v>
      </c>
      <c r="P29" s="96" t="str">
        <f t="shared" ref="P29:Q30" si="12">IF(OR($M29=0,ISTEXT(N29)),"--",$M29/N29)</f>
        <v>--</v>
      </c>
      <c r="Q29" s="96" t="str">
        <f t="shared" si="12"/>
        <v>--</v>
      </c>
      <c r="R29" s="395" t="str">
        <f>IF(ISBLANK(VLOOKUP($B29,TRVs_birds!$B$5:$J$28,8,FALSE)),"--",VLOOKUP($B29,TRVs_birds!$B$5:$J$28,8,FALSE))</f>
        <v>--</v>
      </c>
      <c r="S29" s="96" t="str">
        <f t="shared" ref="S29:S30" si="13">IF(OR($M29=0,ISTEXT(R29)),"--",$M29/R29)</f>
        <v>--</v>
      </c>
      <c r="T29" s="283" t="str">
        <f t="shared" si="8"/>
        <v/>
      </c>
    </row>
    <row r="30" spans="2:23">
      <c r="B30" s="81" t="s">
        <v>74</v>
      </c>
      <c r="C30" s="39">
        <v>1</v>
      </c>
      <c r="D30" s="94">
        <f>S_NMeFOSAA</f>
        <v>1000</v>
      </c>
      <c r="E30" s="95">
        <f>IFERROR(D30*$C30*B2_fir*B2_AUF*B2_Pso/B2_bw,"--")</f>
        <v>12.218020855578413</v>
      </c>
      <c r="F30" s="95">
        <f>W_NMeFOSAA</f>
        <v>10</v>
      </c>
      <c r="G30" s="95">
        <f>IFERROR(F30*B2_dwi*B2_AUF/B2_bw,"--")</f>
        <v>1.0000000000000002</v>
      </c>
      <c r="H30" s="95" t="str">
        <f>VLOOKUP($B30,EPCs!$B$5:$G$28,3,FALSE)</f>
        <v>n/a</v>
      </c>
      <c r="I30" s="95" t="str">
        <f>IFERROR(H30*B2_FIRw*B2_AUF*B2_Pveg/B2_bw,"--")</f>
        <v>--</v>
      </c>
      <c r="J30" s="95" t="str">
        <f>VLOOKUP($B30,EPCs!$B$5:$G$28,5,FALSE)</f>
        <v>n/a</v>
      </c>
      <c r="K30" s="95" t="str">
        <f>IFERROR(J30*B2_FIRw*B2_AUF*B2_Pinv/B2_bw,"--")</f>
        <v>--</v>
      </c>
      <c r="L30" s="95">
        <f t="shared" si="4"/>
        <v>13.218020855578413</v>
      </c>
      <c r="M30" s="95">
        <f t="shared" si="5"/>
        <v>1.3218020855578413E-5</v>
      </c>
      <c r="N30" s="95" t="str">
        <f>VLOOKUP($B30,TRVs_birds!$B$5:$J$28,2,FALSE)</f>
        <v>No TRV</v>
      </c>
      <c r="O30" s="95" t="str">
        <f>VLOOKUP($B30,TRVs_birds!$B$5:$J$28,5,FALSE)</f>
        <v>No TRV</v>
      </c>
      <c r="P30" s="96" t="str">
        <f t="shared" si="12"/>
        <v>--</v>
      </c>
      <c r="Q30" s="96" t="str">
        <f t="shared" si="12"/>
        <v>--</v>
      </c>
      <c r="R30" s="395" t="str">
        <f>IF(ISBLANK(VLOOKUP($B30,TRVs_birds!$B$5:$J$28,8,FALSE)),"--",VLOOKUP($B30,TRVs_birds!$B$5:$J$28,8,FALSE))</f>
        <v>--</v>
      </c>
      <c r="S30" s="96" t="str">
        <f t="shared" si="13"/>
        <v>--</v>
      </c>
      <c r="T30" s="283" t="str">
        <f t="shared" si="8"/>
        <v>PU</v>
      </c>
    </row>
    <row r="31" spans="2:23" ht="14.4">
      <c r="B31" s="43"/>
      <c r="C31" s="97"/>
      <c r="D31" s="97"/>
      <c r="E31" s="97"/>
      <c r="F31" s="97"/>
      <c r="G31" s="97"/>
      <c r="H31" s="98"/>
      <c r="I31" s="97"/>
      <c r="J31" s="97"/>
      <c r="K31"/>
      <c r="L31"/>
      <c r="M31"/>
      <c r="N31"/>
      <c r="O31"/>
      <c r="P31"/>
      <c r="Q31"/>
      <c r="R31"/>
      <c r="S31"/>
      <c r="T31"/>
      <c r="U31"/>
      <c r="V31"/>
      <c r="W31"/>
    </row>
    <row r="32" spans="2:23">
      <c r="B32" s="31" t="s">
        <v>1</v>
      </c>
      <c r="E32" s="112"/>
      <c r="F32" s="222"/>
      <c r="G32" s="222"/>
      <c r="H32" s="112"/>
      <c r="M32" s="100"/>
      <c r="N32" s="100"/>
      <c r="O32" s="100"/>
      <c r="P32" s="100"/>
      <c r="Q32" s="100"/>
      <c r="R32" s="100"/>
      <c r="S32" s="100"/>
      <c r="T32" s="100"/>
      <c r="U32" s="100"/>
      <c r="V32" s="100"/>
      <c r="W32" s="100"/>
    </row>
    <row r="33" spans="2:20" ht="14.4">
      <c r="B33" s="234" t="s">
        <v>373</v>
      </c>
      <c r="C33" s="103"/>
      <c r="D33" s="101"/>
      <c r="E33" s="19"/>
      <c r="F33" s="19"/>
      <c r="G33" s="19"/>
      <c r="H33" s="19"/>
      <c r="I33" s="101"/>
      <c r="J33" s="101"/>
      <c r="K33" s="101"/>
      <c r="M33" s="103"/>
      <c r="N33" s="103"/>
      <c r="T33"/>
    </row>
    <row r="34" spans="2:20" ht="14.4">
      <c r="B34" s="234"/>
      <c r="C34" s="103"/>
      <c r="D34" s="101"/>
      <c r="E34" s="19"/>
      <c r="F34" s="19"/>
      <c r="G34" s="19"/>
      <c r="H34" s="19"/>
      <c r="I34" s="101"/>
      <c r="J34" s="101"/>
      <c r="K34" s="101"/>
      <c r="M34" s="103"/>
      <c r="N34" s="103"/>
      <c r="T34"/>
    </row>
    <row r="35" spans="2:20" ht="15.6">
      <c r="B35" s="293" t="s">
        <v>158</v>
      </c>
      <c r="C35" s="104"/>
      <c r="D35" s="112"/>
      <c r="E35" s="105"/>
      <c r="F35" s="105"/>
      <c r="G35" s="105"/>
      <c r="H35" s="105"/>
      <c r="I35" s="105"/>
      <c r="J35" s="103"/>
      <c r="K35" s="103"/>
      <c r="M35" s="106"/>
      <c r="N35" s="103"/>
    </row>
    <row r="36" spans="2:20">
      <c r="B36" s="104"/>
      <c r="C36" s="104"/>
      <c r="D36" s="222"/>
      <c r="E36" s="105"/>
      <c r="F36" s="105"/>
      <c r="G36" s="105"/>
      <c r="H36" s="105"/>
      <c r="I36" s="105"/>
      <c r="J36" s="103"/>
      <c r="K36" s="103"/>
      <c r="M36" s="106"/>
      <c r="N36" s="103"/>
    </row>
    <row r="37" spans="2:20">
      <c r="B37" s="405" t="s">
        <v>191</v>
      </c>
      <c r="C37" s="295" t="s">
        <v>53</v>
      </c>
      <c r="D37" s="294" t="s">
        <v>2</v>
      </c>
      <c r="E37" s="296" t="s">
        <v>51</v>
      </c>
      <c r="H37" s="103"/>
      <c r="J37" s="103"/>
      <c r="K37" s="103"/>
      <c r="L37" s="103"/>
    </row>
    <row r="38" spans="2:20" ht="15.6">
      <c r="B38" s="406" t="s">
        <v>159</v>
      </c>
      <c r="C38" s="491" t="s">
        <v>136</v>
      </c>
      <c r="D38" s="105" t="s">
        <v>18</v>
      </c>
      <c r="E38" s="101" t="s">
        <v>160</v>
      </c>
      <c r="H38" s="103"/>
      <c r="J38" s="103"/>
      <c r="L38" s="103"/>
    </row>
    <row r="39" spans="2:20" ht="15.6">
      <c r="B39" s="407" t="s">
        <v>161</v>
      </c>
      <c r="C39" s="491"/>
      <c r="D39" s="139" t="s">
        <v>192</v>
      </c>
      <c r="E39" s="101" t="s">
        <v>42</v>
      </c>
      <c r="H39" s="103"/>
      <c r="J39" s="103"/>
      <c r="L39" s="103"/>
    </row>
    <row r="40" spans="2:20">
      <c r="B40" s="406" t="s">
        <v>17</v>
      </c>
      <c r="C40" s="491"/>
      <c r="D40" s="105" t="s">
        <v>19</v>
      </c>
      <c r="E40" s="234" t="s">
        <v>375</v>
      </c>
      <c r="H40" s="103"/>
      <c r="J40" s="103"/>
      <c r="L40" s="103"/>
    </row>
    <row r="41" spans="2:20" ht="15.6">
      <c r="B41" s="407" t="s">
        <v>92</v>
      </c>
      <c r="C41" s="281">
        <f>B2_Pveg</f>
        <v>0.1</v>
      </c>
      <c r="D41" s="105" t="s">
        <v>15</v>
      </c>
      <c r="E41" s="101" t="s">
        <v>20</v>
      </c>
      <c r="H41" s="103"/>
      <c r="J41" s="103"/>
      <c r="L41" s="103"/>
    </row>
    <row r="42" spans="2:20" ht="15.6">
      <c r="B42" s="408" t="s">
        <v>308</v>
      </c>
      <c r="C42" s="281">
        <f>B2_Pinv</f>
        <v>0.9</v>
      </c>
      <c r="D42" s="105" t="s">
        <v>15</v>
      </c>
      <c r="E42" s="238" t="s">
        <v>469</v>
      </c>
      <c r="H42" s="103"/>
      <c r="J42" s="103"/>
      <c r="L42" s="103"/>
    </row>
    <row r="43" spans="2:20" ht="15.6">
      <c r="B43" s="407" t="s">
        <v>93</v>
      </c>
      <c r="C43" s="347">
        <f>B2_Pso</f>
        <v>0.104</v>
      </c>
      <c r="D43" s="105" t="s">
        <v>15</v>
      </c>
      <c r="E43" s="238" t="s">
        <v>384</v>
      </c>
      <c r="H43" s="101"/>
      <c r="J43" s="103"/>
      <c r="L43" s="103"/>
    </row>
    <row r="44" spans="2:20" ht="15.6">
      <c r="B44" s="407" t="s">
        <v>133</v>
      </c>
      <c r="C44" s="144">
        <f>B2_fir</f>
        <v>2.0676650678671162E-2</v>
      </c>
      <c r="D44" s="105" t="s">
        <v>21</v>
      </c>
      <c r="E44" s="360" t="s">
        <v>525</v>
      </c>
      <c r="F44" s="24"/>
      <c r="G44" s="24"/>
      <c r="H44" s="140"/>
      <c r="J44" s="103"/>
      <c r="L44" s="103"/>
      <c r="M44" s="103"/>
    </row>
    <row r="45" spans="2:20" ht="15.6">
      <c r="B45" s="407" t="s">
        <v>132</v>
      </c>
      <c r="C45" s="144">
        <f>B2_FIRw</f>
        <v>6.2527723256055573E-2</v>
      </c>
      <c r="D45" s="105" t="s">
        <v>21</v>
      </c>
      <c r="E45" s="101" t="s">
        <v>267</v>
      </c>
      <c r="H45" s="101"/>
      <c r="J45" s="103"/>
    </row>
    <row r="46" spans="2:20">
      <c r="B46" s="407" t="s">
        <v>14</v>
      </c>
      <c r="C46" s="281">
        <f>B2_AUF</f>
        <v>1</v>
      </c>
      <c r="D46" s="105" t="s">
        <v>15</v>
      </c>
      <c r="E46" s="101" t="s">
        <v>25</v>
      </c>
      <c r="H46" s="103"/>
      <c r="J46" s="103"/>
    </row>
    <row r="47" spans="2:20">
      <c r="B47" s="407" t="s">
        <v>5</v>
      </c>
      <c r="C47" s="281">
        <f>B2_bw</f>
        <v>0.17599999999999999</v>
      </c>
      <c r="D47" s="105" t="s">
        <v>26</v>
      </c>
      <c r="E47" s="101" t="s">
        <v>6</v>
      </c>
      <c r="H47" s="103"/>
      <c r="J47" s="103"/>
      <c r="K47" s="103"/>
    </row>
    <row r="48" spans="2:20">
      <c r="B48" s="407" t="s">
        <v>388</v>
      </c>
      <c r="C48" s="279">
        <f>B2_dwi</f>
        <v>1.7600000000000001E-2</v>
      </c>
      <c r="D48" s="267" t="s">
        <v>390</v>
      </c>
      <c r="E48" s="433" t="s">
        <v>389</v>
      </c>
      <c r="I48" s="103"/>
      <c r="J48" s="103"/>
      <c r="K48" s="103"/>
    </row>
    <row r="49" spans="2:20" ht="14.4">
      <c r="B49" s="297"/>
      <c r="C49" s="279"/>
      <c r="D49" s="267"/>
      <c r="E49" s="256"/>
      <c r="I49" s="103"/>
      <c r="J49" s="103"/>
      <c r="K49" s="103"/>
    </row>
    <row r="50" spans="2:20">
      <c r="B50" s="238" t="s">
        <v>383</v>
      </c>
      <c r="C50" s="101"/>
      <c r="D50" s="103"/>
      <c r="I50" s="103"/>
      <c r="J50" s="103"/>
    </row>
    <row r="51" spans="2:20">
      <c r="B51" s="487" t="s">
        <v>457</v>
      </c>
      <c r="C51" s="487"/>
      <c r="D51" s="487"/>
      <c r="E51" s="487"/>
      <c r="F51" s="487"/>
      <c r="G51" s="487"/>
      <c r="H51" s="487"/>
      <c r="I51" s="487"/>
      <c r="J51" s="487"/>
      <c r="K51" s="487"/>
      <c r="L51" s="487"/>
      <c r="M51" s="487"/>
      <c r="N51" s="487"/>
      <c r="O51" s="487"/>
      <c r="P51" s="487"/>
      <c r="Q51" s="487"/>
      <c r="R51" s="487"/>
      <c r="S51" s="487"/>
      <c r="T51" s="487"/>
    </row>
    <row r="52" spans="2:20">
      <c r="B52" s="487"/>
      <c r="C52" s="487"/>
      <c r="D52" s="487"/>
      <c r="E52" s="487"/>
      <c r="F52" s="487"/>
      <c r="G52" s="487"/>
      <c r="H52" s="487"/>
      <c r="I52" s="487"/>
      <c r="J52" s="487"/>
      <c r="K52" s="487"/>
      <c r="L52" s="487"/>
      <c r="M52" s="487"/>
      <c r="N52" s="487"/>
      <c r="O52" s="487"/>
      <c r="P52" s="487"/>
      <c r="Q52" s="487"/>
      <c r="R52" s="487"/>
      <c r="S52" s="487"/>
      <c r="T52" s="487"/>
    </row>
    <row r="53" spans="2:20">
      <c r="B53" s="284"/>
      <c r="C53" s="284"/>
      <c r="D53" s="284"/>
      <c r="E53" s="284"/>
      <c r="F53" s="284"/>
      <c r="G53" s="284"/>
      <c r="H53" s="284"/>
      <c r="I53" s="284"/>
      <c r="J53" s="284"/>
      <c r="K53" s="284"/>
      <c r="L53" s="284"/>
      <c r="M53" s="284"/>
      <c r="N53" s="284"/>
      <c r="O53" s="284"/>
      <c r="P53" s="284"/>
      <c r="Q53" s="284"/>
      <c r="R53" s="284"/>
      <c r="S53" s="284"/>
      <c r="T53" s="284"/>
    </row>
    <row r="54" spans="2:20">
      <c r="B54" s="31" t="s">
        <v>22</v>
      </c>
    </row>
    <row r="55" spans="2:20">
      <c r="B55" s="16" t="s">
        <v>45</v>
      </c>
      <c r="C55" s="14" t="s">
        <v>296</v>
      </c>
      <c r="J55" s="206"/>
    </row>
    <row r="56" spans="2:20">
      <c r="B56" s="16" t="s">
        <v>47</v>
      </c>
      <c r="C56" s="206" t="s">
        <v>298</v>
      </c>
    </row>
    <row r="57" spans="2:20">
      <c r="B57" s="13" t="s">
        <v>259</v>
      </c>
      <c r="C57" s="14" t="s">
        <v>294</v>
      </c>
    </row>
    <row r="58" spans="2:20">
      <c r="B58" s="13" t="s">
        <v>261</v>
      </c>
      <c r="C58" s="14" t="s">
        <v>295</v>
      </c>
    </row>
    <row r="59" spans="2:20">
      <c r="B59" s="14" t="s">
        <v>223</v>
      </c>
    </row>
    <row r="60" spans="2:20">
      <c r="B60" s="159" t="s">
        <v>50</v>
      </c>
    </row>
  </sheetData>
  <mergeCells count="17">
    <mergeCell ref="J6:K6"/>
    <mergeCell ref="F6:G6"/>
    <mergeCell ref="B51:T52"/>
    <mergeCell ref="C38:C40"/>
    <mergeCell ref="T6:T7"/>
    <mergeCell ref="S6:S7"/>
    <mergeCell ref="L6:L7"/>
    <mergeCell ref="M6:M7"/>
    <mergeCell ref="N6:N7"/>
    <mergeCell ref="R6:R7"/>
    <mergeCell ref="O6:O7"/>
    <mergeCell ref="P6:P7"/>
    <mergeCell ref="Q6:Q7"/>
    <mergeCell ref="B6:B8"/>
    <mergeCell ref="C6:C8"/>
    <mergeCell ref="D6:E6"/>
    <mergeCell ref="H6:I6"/>
  </mergeCells>
  <conditionalFormatting sqref="F7:F20 F22:F25 F27 F29:F30">
    <cfRule type="expression" dxfId="197" priority="77">
      <formula>ISBLANK(surface_water)</formula>
    </cfRule>
  </conditionalFormatting>
  <conditionalFormatting sqref="G7:G20 G22:G25 G27 G29:G30">
    <cfRule type="expression" dxfId="196" priority="76">
      <formula>ISBLANK(surface_water)</formula>
    </cfRule>
  </conditionalFormatting>
  <conditionalFormatting sqref="F6:G6">
    <cfRule type="expression" dxfId="195" priority="75">
      <formula>ISBLANK(surface_water)</formula>
    </cfRule>
  </conditionalFormatting>
  <conditionalFormatting sqref="C48:C49 E48:E49">
    <cfRule type="expression" dxfId="194" priority="74">
      <formula>ISBLANK(surface_water)</formula>
    </cfRule>
  </conditionalFormatting>
  <conditionalFormatting sqref="T33:T34">
    <cfRule type="containsText" dxfId="193" priority="66" operator="containsText" text="FALSE">
      <formula>NOT(ISERROR(SEARCH("FALSE",T33)))</formula>
    </cfRule>
    <cfRule type="containsText" dxfId="192" priority="67" operator="containsText" text="PU">
      <formula>NOT(ISERROR(SEARCH("PU",T33)))</formula>
    </cfRule>
  </conditionalFormatting>
  <conditionalFormatting sqref="D48:D49">
    <cfRule type="expression" dxfId="191" priority="65">
      <formula>ISBLANK(surface_water)</formula>
    </cfRule>
  </conditionalFormatting>
  <conditionalFormatting sqref="F21">
    <cfRule type="expression" dxfId="190" priority="34">
      <formula>ISBLANK(surface_water)</formula>
    </cfRule>
  </conditionalFormatting>
  <conditionalFormatting sqref="G21">
    <cfRule type="expression" dxfId="189" priority="33">
      <formula>ISBLANK(surface_water)</formula>
    </cfRule>
  </conditionalFormatting>
  <conditionalFormatting sqref="F26">
    <cfRule type="expression" dxfId="188" priority="31">
      <formula>ISBLANK(surface_water)</formula>
    </cfRule>
  </conditionalFormatting>
  <conditionalFormatting sqref="G26">
    <cfRule type="expression" dxfId="187" priority="30">
      <formula>ISBLANK(surface_water)</formula>
    </cfRule>
  </conditionalFormatting>
  <conditionalFormatting sqref="F28">
    <cfRule type="expression" dxfId="186" priority="28">
      <formula>ISBLANK(surface_water)</formula>
    </cfRule>
  </conditionalFormatting>
  <conditionalFormatting sqref="G28">
    <cfRule type="expression" dxfId="185" priority="27">
      <formula>ISBLANK(surface_water)</formula>
    </cfRule>
  </conditionalFormatting>
  <conditionalFormatting sqref="D10:O30 R10:R30">
    <cfRule type="cellIs" dxfId="184" priority="26" operator="equal">
      <formula>0</formula>
    </cfRule>
  </conditionalFormatting>
  <conditionalFormatting sqref="P10:Q20">
    <cfRule type="expression" dxfId="183" priority="24">
      <formula>AND(ISNUMBER(P10),P10&gt;1)</formula>
    </cfRule>
  </conditionalFormatting>
  <conditionalFormatting sqref="Q10:Q20">
    <cfRule type="expression" dxfId="182" priority="23">
      <formula>AND(ISNUMBER(Q10),Q10&gt;1)</formula>
    </cfRule>
  </conditionalFormatting>
  <conditionalFormatting sqref="P12:P20 P22:P25 P27 P29:P30">
    <cfRule type="expression" dxfId="181" priority="22">
      <formula>AND(ISNUMBER(P12),P12&gt;1)</formula>
    </cfRule>
  </conditionalFormatting>
  <conditionalFormatting sqref="Q12:Q20 Q22:Q25 Q27 Q29:Q30">
    <cfRule type="expression" dxfId="180" priority="21">
      <formula>AND(ISNUMBER(Q12),Q12&gt;1)</formula>
    </cfRule>
  </conditionalFormatting>
  <conditionalFormatting sqref="P10:Q30">
    <cfRule type="expression" dxfId="179" priority="20">
      <formula>"$P$10:$Q$30,&gt;1)"</formula>
    </cfRule>
  </conditionalFormatting>
  <conditionalFormatting sqref="P11">
    <cfRule type="expression" dxfId="178" priority="19">
      <formula>AND(ISNUMBER(P11),P11&gt;1)</formula>
    </cfRule>
  </conditionalFormatting>
  <conditionalFormatting sqref="Q11">
    <cfRule type="expression" dxfId="177" priority="18">
      <formula>AND(ISNUMBER(Q11),Q11&gt;1)</formula>
    </cfRule>
  </conditionalFormatting>
  <conditionalFormatting sqref="P11:Q11">
    <cfRule type="expression" dxfId="176" priority="17">
      <formula>"$P$10:$Q$30,&gt;1)"</formula>
    </cfRule>
  </conditionalFormatting>
  <conditionalFormatting sqref="P10:Q30">
    <cfRule type="cellIs" dxfId="175" priority="16" operator="equal">
      <formula>0</formula>
    </cfRule>
  </conditionalFormatting>
  <conditionalFormatting sqref="P22:Q25">
    <cfRule type="expression" dxfId="174" priority="15">
      <formula>AND(ISNUMBER(P22),P22&gt;1)</formula>
    </cfRule>
  </conditionalFormatting>
  <conditionalFormatting sqref="Q22:Q25">
    <cfRule type="expression" dxfId="173" priority="14">
      <formula>AND(ISNUMBER(Q22),Q22&gt;1)</formula>
    </cfRule>
  </conditionalFormatting>
  <conditionalFormatting sqref="P27:Q27">
    <cfRule type="expression" dxfId="172" priority="13">
      <formula>AND(ISNUMBER(P27),P27&gt;1)</formula>
    </cfRule>
  </conditionalFormatting>
  <conditionalFormatting sqref="Q27">
    <cfRule type="expression" dxfId="171" priority="12">
      <formula>AND(ISNUMBER(Q27),Q27&gt;1)</formula>
    </cfRule>
  </conditionalFormatting>
  <conditionalFormatting sqref="P29:Q30">
    <cfRule type="expression" dxfId="170" priority="11">
      <formula>AND(ISNUMBER(P29),P29&gt;1)</formula>
    </cfRule>
  </conditionalFormatting>
  <conditionalFormatting sqref="Q29:Q30">
    <cfRule type="expression" dxfId="169" priority="10">
      <formula>AND(ISNUMBER(Q29),Q29&gt;1)</formula>
    </cfRule>
  </conditionalFormatting>
  <conditionalFormatting sqref="S10:S30">
    <cfRule type="cellIs" dxfId="168" priority="9" operator="equal">
      <formula>0</formula>
    </cfRule>
  </conditionalFormatting>
  <conditionalFormatting sqref="S10:S20">
    <cfRule type="expression" dxfId="167" priority="8">
      <formula>AND(ISNUMBER(S10),S10&gt;1)</formula>
    </cfRule>
  </conditionalFormatting>
  <conditionalFormatting sqref="S10:S20">
    <cfRule type="expression" dxfId="166" priority="7">
      <formula>"$P$10:$Q$30,&gt;1)"</formula>
    </cfRule>
  </conditionalFormatting>
  <conditionalFormatting sqref="S22:S25">
    <cfRule type="expression" dxfId="165" priority="6">
      <formula>AND(ISNUMBER(S22),S22&gt;1)</formula>
    </cfRule>
  </conditionalFormatting>
  <conditionalFormatting sqref="S22:S25">
    <cfRule type="expression" dxfId="164" priority="5">
      <formula>"$P$10:$Q$30,&gt;1)"</formula>
    </cfRule>
  </conditionalFormatting>
  <conditionalFormatting sqref="S27">
    <cfRule type="expression" dxfId="163" priority="4">
      <formula>AND(ISNUMBER(S27),S27&gt;1)</formula>
    </cfRule>
  </conditionalFormatting>
  <conditionalFormatting sqref="S27">
    <cfRule type="expression" dxfId="162" priority="3">
      <formula>"$P$10:$Q$30,&gt;1)"</formula>
    </cfRule>
  </conditionalFormatting>
  <conditionalFormatting sqref="S29:S30">
    <cfRule type="expression" dxfId="161" priority="2">
      <formula>AND(ISNUMBER(S29),S29&gt;1)</formula>
    </cfRule>
  </conditionalFormatting>
  <conditionalFormatting sqref="S29:S30">
    <cfRule type="expression" dxfId="160" priority="1">
      <formula>"$P$10:$Q$30,&gt;1)"</formula>
    </cfRule>
  </conditionalFormatting>
  <pageMargins left="0.7" right="0.7" top="0.75" bottom="0.75" header="0.3" footer="0.3"/>
  <pageSetup paperSize="119" scale="22" orientation="landscape" verticalDpi="1200" r:id="rId1"/>
  <headerFooter>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8856-EEB2-4E86-9950-B848EB75F646}">
  <sheetPr>
    <tabColor rgb="FFFFFFCC"/>
    <pageSetUpPr fitToPage="1"/>
  </sheetPr>
  <dimension ref="B2:Z60"/>
  <sheetViews>
    <sheetView view="pageBreakPreview" zoomScale="85" zoomScaleNormal="100" zoomScaleSheetLayoutView="85" zoomScalePageLayoutView="70" workbookViewId="0">
      <selection activeCell="B6" sqref="B6:B8"/>
    </sheetView>
  </sheetViews>
  <sheetFormatPr defaultColWidth="9.21875" defaultRowHeight="13.2" outlineLevelCol="1"/>
  <cols>
    <col min="1" max="1" width="1.77734375" style="14" customWidth="1"/>
    <col min="2" max="2" width="25.21875" style="14" customWidth="1"/>
    <col min="3" max="3" width="9" style="18" customWidth="1"/>
    <col min="4" max="5" width="10.77734375" style="14" customWidth="1"/>
    <col min="6" max="7" width="10.77734375" style="14" customWidth="1" outlineLevel="1"/>
    <col min="8" max="8" width="12" style="14" customWidth="1"/>
    <col min="9" max="9" width="12.44140625" style="14" customWidth="1"/>
    <col min="10" max="10" width="11" style="14" customWidth="1"/>
    <col min="11" max="11" width="12.44140625" style="14" customWidth="1"/>
    <col min="12" max="12" width="11" style="14" customWidth="1"/>
    <col min="13" max="14" width="12.44140625" style="14" customWidth="1"/>
    <col min="15" max="16" width="11" style="14" customWidth="1"/>
    <col min="17" max="17" width="11.21875" style="14" customWidth="1"/>
    <col min="18" max="19" width="14.21875" style="14" customWidth="1" outlineLevel="1"/>
    <col min="20" max="20" width="14.21875" style="14" customWidth="1"/>
    <col min="21" max="23" width="11" style="14" customWidth="1"/>
    <col min="24" max="24" width="12.77734375" style="14" customWidth="1"/>
    <col min="25" max="25" width="14.21875" style="14" customWidth="1"/>
    <col min="26" max="26" width="14" style="14" bestFit="1" customWidth="1"/>
    <col min="27" max="27" width="4.77734375" style="14" customWidth="1"/>
    <col min="28" max="16384" width="9.21875" style="14"/>
  </cols>
  <sheetData>
    <row r="2" spans="2:20">
      <c r="B2" s="34" t="str">
        <f>Site</f>
        <v>Test Site #1</v>
      </c>
      <c r="C2" s="145"/>
    </row>
    <row r="3" spans="2:20">
      <c r="B3" s="50" t="str">
        <f>Title10</f>
        <v xml:space="preserve">Table 10: Exposure Assessment and Hazard Characterization </v>
      </c>
      <c r="C3" s="145"/>
      <c r="E3" s="19"/>
      <c r="F3" s="19"/>
      <c r="G3" s="19"/>
      <c r="H3" s="19"/>
    </row>
    <row r="4" spans="2:20">
      <c r="B4" s="15" t="s">
        <v>28</v>
      </c>
      <c r="C4" s="196" t="str">
        <f>Bird3</f>
        <v>Florida Scrub-Jay (T&amp;E)</v>
      </c>
      <c r="J4" s="15"/>
      <c r="K4" s="15"/>
      <c r="L4" s="15"/>
      <c r="M4" s="15"/>
      <c r="N4" s="15"/>
      <c r="O4" s="15"/>
      <c r="P4" s="15"/>
      <c r="Q4" s="15"/>
      <c r="R4" s="15"/>
    </row>
    <row r="5" spans="2:20">
      <c r="B5" s="15"/>
      <c r="C5" s="146"/>
      <c r="J5" s="15"/>
      <c r="K5" s="15"/>
      <c r="L5" s="15"/>
      <c r="M5" s="15"/>
      <c r="N5" s="15"/>
      <c r="O5" s="15"/>
      <c r="P5" s="15"/>
      <c r="Q5" s="15"/>
      <c r="R5" s="15"/>
    </row>
    <row r="6" spans="2:20" ht="23.25" customHeight="1">
      <c r="B6" s="492" t="s">
        <v>52</v>
      </c>
      <c r="C6" s="495" t="s">
        <v>17</v>
      </c>
      <c r="D6" s="496" t="s">
        <v>369</v>
      </c>
      <c r="E6" s="490"/>
      <c r="F6" s="490" t="s">
        <v>432</v>
      </c>
      <c r="G6" s="490"/>
      <c r="H6" s="490" t="s">
        <v>370</v>
      </c>
      <c r="I6" s="490"/>
      <c r="J6" s="490" t="s">
        <v>371</v>
      </c>
      <c r="K6" s="490"/>
      <c r="L6" s="486" t="s">
        <v>374</v>
      </c>
      <c r="M6" s="486" t="s">
        <v>374</v>
      </c>
      <c r="N6" s="486" t="s">
        <v>84</v>
      </c>
      <c r="O6" s="486" t="s">
        <v>83</v>
      </c>
      <c r="P6" s="486" t="s">
        <v>380</v>
      </c>
      <c r="Q6" s="486" t="s">
        <v>381</v>
      </c>
      <c r="R6" s="486" t="s">
        <v>135</v>
      </c>
      <c r="S6" s="486" t="s">
        <v>155</v>
      </c>
      <c r="T6" s="486" t="s">
        <v>382</v>
      </c>
    </row>
    <row r="7" spans="2:20" ht="15.6">
      <c r="B7" s="493"/>
      <c r="C7" s="495"/>
      <c r="D7" s="134" t="s">
        <v>190</v>
      </c>
      <c r="E7" s="265" t="s">
        <v>449</v>
      </c>
      <c r="F7" s="134" t="s">
        <v>190</v>
      </c>
      <c r="G7" s="265" t="s">
        <v>452</v>
      </c>
      <c r="H7" s="134" t="s">
        <v>190</v>
      </c>
      <c r="I7" s="135" t="s">
        <v>157</v>
      </c>
      <c r="J7" s="134" t="s">
        <v>190</v>
      </c>
      <c r="K7" s="265" t="s">
        <v>450</v>
      </c>
      <c r="L7" s="486"/>
      <c r="M7" s="486"/>
      <c r="N7" s="486"/>
      <c r="O7" s="486"/>
      <c r="P7" s="486"/>
      <c r="Q7" s="486"/>
      <c r="R7" s="486"/>
      <c r="S7" s="486"/>
      <c r="T7" s="486"/>
    </row>
    <row r="8" spans="2:20">
      <c r="B8" s="494"/>
      <c r="C8" s="495"/>
      <c r="D8" s="136" t="s">
        <v>91</v>
      </c>
      <c r="E8" s="137" t="s">
        <v>134</v>
      </c>
      <c r="F8" s="266" t="s">
        <v>451</v>
      </c>
      <c r="G8" s="137" t="s">
        <v>134</v>
      </c>
      <c r="H8" s="136" t="s">
        <v>131</v>
      </c>
      <c r="I8" s="137" t="s">
        <v>134</v>
      </c>
      <c r="J8" s="136" t="s">
        <v>131</v>
      </c>
      <c r="K8" s="137" t="s">
        <v>134</v>
      </c>
      <c r="L8" s="137" t="s">
        <v>134</v>
      </c>
      <c r="M8" s="137" t="s">
        <v>18</v>
      </c>
      <c r="N8" s="137" t="s">
        <v>18</v>
      </c>
      <c r="O8" s="137" t="s">
        <v>18</v>
      </c>
      <c r="P8" s="137" t="s">
        <v>19</v>
      </c>
      <c r="Q8" s="138" t="s">
        <v>19</v>
      </c>
      <c r="R8" s="137" t="s">
        <v>18</v>
      </c>
      <c r="S8" s="137" t="s">
        <v>19</v>
      </c>
      <c r="T8" s="137"/>
    </row>
    <row r="9" spans="2:20">
      <c r="B9" s="82" t="s">
        <v>75</v>
      </c>
      <c r="C9" s="125"/>
      <c r="D9" s="67"/>
      <c r="E9" s="67"/>
      <c r="F9" s="67"/>
      <c r="G9" s="67"/>
      <c r="H9" s="67"/>
      <c r="I9" s="67"/>
      <c r="J9" s="67"/>
      <c r="K9" s="67"/>
      <c r="L9" s="67"/>
      <c r="M9" s="67"/>
      <c r="N9" s="67"/>
      <c r="O9" s="67"/>
      <c r="P9" s="67"/>
      <c r="Q9" s="67"/>
      <c r="R9" s="67"/>
      <c r="S9" s="67"/>
      <c r="T9" s="84"/>
    </row>
    <row r="10" spans="2:20">
      <c r="B10" s="79" t="s">
        <v>59</v>
      </c>
      <c r="C10" s="39">
        <v>1</v>
      </c>
      <c r="D10" s="94">
        <f>S_PFBA</f>
        <v>1000</v>
      </c>
      <c r="E10" s="95">
        <f t="shared" ref="E10:E20" si="0">IFERROR(D10*$C10*B3_fir*B3_AUF*B3_Pso/B3_bw,"--")</f>
        <v>0</v>
      </c>
      <c r="F10" s="95">
        <f>W_PFBA</f>
        <v>10</v>
      </c>
      <c r="G10" s="95">
        <f t="shared" ref="G10:G20" si="1">IFERROR(F10*B3_dwi*B3_AUF/B3_bw,"--")</f>
        <v>0.63636363636363635</v>
      </c>
      <c r="H10" s="95">
        <f>VLOOKUP($B10,EPCs!$B$5:$G$28,3,FALSE)</f>
        <v>22000</v>
      </c>
      <c r="I10" s="95">
        <f t="shared" ref="I10:I20" si="2">IFERROR(H10*B3_FIRw*B3_AUF*B3_Pveg/B3_bw,"--")</f>
        <v>1656.4961293604192</v>
      </c>
      <c r="J10" s="95" t="str">
        <f>VLOOKUP($B10,EPCs!$B$5:$G$28,5,FALSE)</f>
        <v>n/a</v>
      </c>
      <c r="K10" s="95" t="str">
        <f t="shared" ref="K10:K20" si="3">IFERROR(J10*B3_FIRw*B3_AUF*B3_Pinv/B3_bw,"--")</f>
        <v>--</v>
      </c>
      <c r="L10" s="95">
        <f>SUM(E10,G10,I10,K10)</f>
        <v>1657.132492996783</v>
      </c>
      <c r="M10" s="95">
        <f>L10/10^6</f>
        <v>1.6571324929967829E-3</v>
      </c>
      <c r="N10" s="95" t="str">
        <f>VLOOKUP($B10,TRVs_birds!$B$5:$J$28,2,FALSE)</f>
        <v>No TRV</v>
      </c>
      <c r="O10" s="95" t="str">
        <f>VLOOKUP($B10,TRVs_birds!$B$5:$J$28,5,FALSE)</f>
        <v>No TRV</v>
      </c>
      <c r="P10" s="96" t="str">
        <f>IF(OR($M10=0,ISTEXT(N10)),"--",$M10/N10)</f>
        <v>--</v>
      </c>
      <c r="Q10" s="96" t="str">
        <f>IF(OR($M10=0,ISTEXT(O10)),"--",$M10/O10)</f>
        <v>--</v>
      </c>
      <c r="R10" s="164">
        <f>IF(ISBLANK(VLOOKUP($B10,TRVs_birds!$B$5:$J$28,8,FALSE)),"--",VLOOKUP($B10,TRVs_birds!$B$5:$J$28,8,FALSE))</f>
        <v>1</v>
      </c>
      <c r="S10" s="96">
        <f>IF(OR($M10=0,ISTEXT(R10)),"--",$M10/R10)</f>
        <v>1.6571324929967829E-3</v>
      </c>
      <c r="T10" s="283" t="str">
        <f>IF(AND(H10="n/a",ISNUMBER($C$41),$C$41&gt;0),"PU",IF(AND(J10="n/a",ISNUMBER($C$42),$C$42&gt;0),"PU",""))</f>
        <v>PU</v>
      </c>
    </row>
    <row r="11" spans="2:20">
      <c r="B11" s="80" t="s">
        <v>60</v>
      </c>
      <c r="C11" s="39">
        <v>1</v>
      </c>
      <c r="D11" s="94">
        <f>S_PFPeA</f>
        <v>1000</v>
      </c>
      <c r="E11" s="95">
        <f t="shared" si="0"/>
        <v>0</v>
      </c>
      <c r="F11" s="95">
        <f>W_PFPeA</f>
        <v>10</v>
      </c>
      <c r="G11" s="95">
        <f t="shared" si="1"/>
        <v>0.63636363636363635</v>
      </c>
      <c r="H11" s="95">
        <f>VLOOKUP($B11,EPCs!$B$5:$G$28,3,FALSE)</f>
        <v>130000</v>
      </c>
      <c r="I11" s="95">
        <f t="shared" si="2"/>
        <v>9788.386218947935</v>
      </c>
      <c r="J11" s="95">
        <f>VLOOKUP($B11,EPCs!$B$5:$G$28,5,FALSE)</f>
        <v>340</v>
      </c>
      <c r="K11" s="95">
        <f t="shared" si="3"/>
        <v>38.400592089718813</v>
      </c>
      <c r="L11" s="95">
        <f t="shared" ref="L11:L30" si="4">SUM(E11,G11,I11,K11)</f>
        <v>9827.423174674017</v>
      </c>
      <c r="M11" s="95">
        <f t="shared" ref="M11:M30" si="5">L11/10^6</f>
        <v>9.8274231746740166E-3</v>
      </c>
      <c r="N11" s="95" t="str">
        <f>VLOOKUP($B11,TRVs_birds!$B$5:$J$28,2,FALSE)</f>
        <v>No TRV</v>
      </c>
      <c r="O11" s="95" t="str">
        <f>VLOOKUP($B11,TRVs_birds!$B$5:$J$28,5,FALSE)</f>
        <v>No TRV</v>
      </c>
      <c r="P11" s="96" t="str">
        <f t="shared" ref="P11:Q20" si="6">IF(OR($M11=0,ISTEXT(N11)),"--",$M11/N11)</f>
        <v>--</v>
      </c>
      <c r="Q11" s="96" t="str">
        <f t="shared" si="6"/>
        <v>--</v>
      </c>
      <c r="R11" s="164">
        <f>IF(ISBLANK(VLOOKUP($B11,TRVs_birds!$B$5:$J$28,8,FALSE)),"--",VLOOKUP($B11,TRVs_birds!$B$5:$J$28,8,FALSE))</f>
        <v>2</v>
      </c>
      <c r="S11" s="96">
        <f t="shared" ref="S11:S20" si="7">IF(OR($M11=0,ISTEXT(R11)),"--",$M11/R11)</f>
        <v>4.9137115873370083E-3</v>
      </c>
      <c r="T11" s="283" t="str">
        <f t="shared" ref="T11:T20" si="8">IF(AND(H11="n/a",ISNUMBER($C$41),$C$41&gt;0),"PU",IF(AND(J11="n/a",ISNUMBER($C$42),$C$42&gt;0),"PU",""))</f>
        <v/>
      </c>
    </row>
    <row r="12" spans="2:20">
      <c r="B12" s="80" t="s">
        <v>61</v>
      </c>
      <c r="C12" s="39">
        <v>1</v>
      </c>
      <c r="D12" s="94">
        <f>S_PFHxA</f>
        <v>2000</v>
      </c>
      <c r="E12" s="95">
        <f t="shared" si="0"/>
        <v>0</v>
      </c>
      <c r="F12" s="95">
        <f>W_PFHxA</f>
        <v>10</v>
      </c>
      <c r="G12" s="95">
        <f t="shared" si="1"/>
        <v>0.63636363636363635</v>
      </c>
      <c r="H12" s="95">
        <f>VLOOKUP($B12,EPCs!$B$5:$G$28,3,FALSE)</f>
        <v>5</v>
      </c>
      <c r="I12" s="95">
        <f t="shared" si="2"/>
        <v>0.37647639303645897</v>
      </c>
      <c r="J12" s="95">
        <f>VLOOKUP($B12,EPCs!$B$5:$G$28,5,FALSE)</f>
        <v>60</v>
      </c>
      <c r="K12" s="95">
        <f t="shared" si="3"/>
        <v>6.776575074656261</v>
      </c>
      <c r="L12" s="95">
        <f t="shared" si="4"/>
        <v>7.7894151040563564</v>
      </c>
      <c r="M12" s="95">
        <f t="shared" si="5"/>
        <v>7.7894151040563557E-6</v>
      </c>
      <c r="N12" s="95" t="str">
        <f>VLOOKUP($B12,TRVs_birds!$B$5:$J$28,2,FALSE)</f>
        <v>No TRV</v>
      </c>
      <c r="O12" s="95" t="str">
        <f>VLOOKUP($B12,TRVs_birds!$B$5:$J$28,5,FALSE)</f>
        <v>No TRV</v>
      </c>
      <c r="P12" s="96" t="str">
        <f t="shared" si="6"/>
        <v>--</v>
      </c>
      <c r="Q12" s="96" t="str">
        <f t="shared" si="6"/>
        <v>--</v>
      </c>
      <c r="R12" s="164">
        <f>IF(ISBLANK(VLOOKUP($B12,TRVs_birds!$B$5:$J$28,8,FALSE)),"--",VLOOKUP($B12,TRVs_birds!$B$5:$J$28,8,FALSE))</f>
        <v>3</v>
      </c>
      <c r="S12" s="96">
        <f t="shared" si="7"/>
        <v>2.5964717013521186E-6</v>
      </c>
      <c r="T12" s="283" t="str">
        <f t="shared" si="8"/>
        <v/>
      </c>
    </row>
    <row r="13" spans="2:20">
      <c r="B13" s="80" t="s">
        <v>62</v>
      </c>
      <c r="C13" s="39">
        <v>1</v>
      </c>
      <c r="D13" s="94">
        <f>S_PFHpA</f>
        <v>2000</v>
      </c>
      <c r="E13" s="95">
        <f t="shared" si="0"/>
        <v>0</v>
      </c>
      <c r="F13" s="95">
        <f>W_PFHpA</f>
        <v>30</v>
      </c>
      <c r="G13" s="95">
        <f t="shared" si="1"/>
        <v>1.9090909090909092</v>
      </c>
      <c r="H13" s="95">
        <f>VLOOKUP($B13,EPCs!$B$5:$G$28,3,FALSE)</f>
        <v>18800</v>
      </c>
      <c r="I13" s="95">
        <f t="shared" si="2"/>
        <v>1415.5512378170858</v>
      </c>
      <c r="J13" s="95">
        <f>VLOOKUP($B13,EPCs!$B$5:$G$28,5,FALSE)</f>
        <v>2400</v>
      </c>
      <c r="K13" s="95">
        <f t="shared" si="3"/>
        <v>271.06300298625047</v>
      </c>
      <c r="L13" s="95">
        <f t="shared" si="4"/>
        <v>1688.5233317124273</v>
      </c>
      <c r="M13" s="95">
        <f t="shared" si="5"/>
        <v>1.6885233317124272E-3</v>
      </c>
      <c r="N13" s="95" t="str">
        <f>VLOOKUP($B13,TRVs_birds!$B$5:$J$28,2,FALSE)</f>
        <v>No TRV</v>
      </c>
      <c r="O13" s="95" t="str">
        <f>VLOOKUP($B13,TRVs_birds!$B$5:$J$28,5,FALSE)</f>
        <v>No TRV</v>
      </c>
      <c r="P13" s="96" t="str">
        <f t="shared" si="6"/>
        <v>--</v>
      </c>
      <c r="Q13" s="96" t="str">
        <f t="shared" si="6"/>
        <v>--</v>
      </c>
      <c r="R13" s="164">
        <f>IF(ISBLANK(VLOOKUP($B13,TRVs_birds!$B$5:$J$28,8,FALSE)),"--",VLOOKUP($B13,TRVs_birds!$B$5:$J$28,8,FALSE))</f>
        <v>4</v>
      </c>
      <c r="S13" s="96">
        <f t="shared" si="7"/>
        <v>4.221308329281068E-4</v>
      </c>
      <c r="T13" s="283" t="str">
        <f t="shared" si="8"/>
        <v/>
      </c>
    </row>
    <row r="14" spans="2:20">
      <c r="B14" s="80" t="s">
        <v>38</v>
      </c>
      <c r="C14" s="39">
        <v>1</v>
      </c>
      <c r="D14" s="94">
        <f>S_PFOA</f>
        <v>3000</v>
      </c>
      <c r="E14" s="95">
        <f t="shared" si="0"/>
        <v>0</v>
      </c>
      <c r="F14" s="95">
        <f>W_PFOA</f>
        <v>10</v>
      </c>
      <c r="G14" s="95">
        <f t="shared" si="1"/>
        <v>0.63636363636363635</v>
      </c>
      <c r="H14" s="95">
        <f>VLOOKUP($B14,EPCs!$B$5:$G$28,3,FALSE)</f>
        <v>10</v>
      </c>
      <c r="I14" s="95">
        <f t="shared" si="2"/>
        <v>0.75295278607291793</v>
      </c>
      <c r="J14" s="95">
        <f>VLOOKUP($B14,EPCs!$B$5:$G$28,5,FALSE)</f>
        <v>1</v>
      </c>
      <c r="K14" s="95">
        <f t="shared" si="3"/>
        <v>0.11294291791093769</v>
      </c>
      <c r="L14" s="95">
        <f t="shared" si="4"/>
        <v>1.502259340347492</v>
      </c>
      <c r="M14" s="95">
        <f t="shared" si="5"/>
        <v>1.502259340347492E-6</v>
      </c>
      <c r="N14" s="95">
        <f>VLOOKUP($B14,TRVs_birds!$B$5:$J$28,2,FALSE)</f>
        <v>1</v>
      </c>
      <c r="O14" s="95" t="str">
        <f>VLOOKUP($B14,TRVs_birds!$B$5:$J$28,5,FALSE)</f>
        <v>No TRV</v>
      </c>
      <c r="P14" s="96">
        <f t="shared" si="6"/>
        <v>1.502259340347492E-6</v>
      </c>
      <c r="Q14" s="96" t="str">
        <f t="shared" si="6"/>
        <v>--</v>
      </c>
      <c r="R14" s="164" t="str">
        <f>IF(ISBLANK(VLOOKUP($B14,TRVs_birds!$B$5:$J$28,8,FALSE)),"--",VLOOKUP($B14,TRVs_birds!$B$5:$J$28,8,FALSE))</f>
        <v>--</v>
      </c>
      <c r="S14" s="96" t="str">
        <f t="shared" si="7"/>
        <v>--</v>
      </c>
      <c r="T14" s="283" t="str">
        <f t="shared" si="8"/>
        <v/>
      </c>
    </row>
    <row r="15" spans="2:20">
      <c r="B15" s="80" t="s">
        <v>63</v>
      </c>
      <c r="C15" s="39">
        <v>1</v>
      </c>
      <c r="D15" s="94">
        <f>S_PFNA</f>
        <v>3000</v>
      </c>
      <c r="E15" s="95">
        <f t="shared" si="0"/>
        <v>0</v>
      </c>
      <c r="F15" s="95">
        <f>W_PFNA</f>
        <v>10</v>
      </c>
      <c r="G15" s="95">
        <f t="shared" si="1"/>
        <v>0.63636363636363635</v>
      </c>
      <c r="H15" s="95">
        <f>VLOOKUP($B15,EPCs!$B$5:$G$28,3,FALSE)</f>
        <v>3600</v>
      </c>
      <c r="I15" s="95">
        <f t="shared" si="2"/>
        <v>271.06300298625047</v>
      </c>
      <c r="J15" s="95">
        <f>VLOOKUP($B15,EPCs!$B$5:$G$28,5,FALSE)</f>
        <v>27300</v>
      </c>
      <c r="K15" s="95">
        <f t="shared" si="3"/>
        <v>3083.3416589685994</v>
      </c>
      <c r="L15" s="95">
        <f t="shared" si="4"/>
        <v>3355.0410255912134</v>
      </c>
      <c r="M15" s="95">
        <f t="shared" si="5"/>
        <v>3.3550410255912132E-3</v>
      </c>
      <c r="N15" s="95" t="str">
        <f>VLOOKUP($B15,TRVs_birds!$B$5:$J$28,2,FALSE)</f>
        <v>No TRV</v>
      </c>
      <c r="O15" s="95" t="str">
        <f>VLOOKUP($B15,TRVs_birds!$B$5:$J$28,5,FALSE)</f>
        <v>No TRV</v>
      </c>
      <c r="P15" s="96" t="str">
        <f t="shared" si="6"/>
        <v>--</v>
      </c>
      <c r="Q15" s="96" t="str">
        <f t="shared" si="6"/>
        <v>--</v>
      </c>
      <c r="R15" s="164" t="str">
        <f>IF(ISBLANK(VLOOKUP($B15,TRVs_birds!$B$5:$J$28,8,FALSE)),"--",VLOOKUP($B15,TRVs_birds!$B$5:$J$28,8,FALSE))</f>
        <v>--</v>
      </c>
      <c r="S15" s="96" t="str">
        <f t="shared" si="7"/>
        <v>--</v>
      </c>
      <c r="T15" s="283" t="str">
        <f t="shared" si="8"/>
        <v/>
      </c>
    </row>
    <row r="16" spans="2:20">
      <c r="B16" s="80" t="s">
        <v>64</v>
      </c>
      <c r="C16" s="39">
        <v>1</v>
      </c>
      <c r="D16" s="94">
        <f>S_PFDA</f>
        <v>4000</v>
      </c>
      <c r="E16" s="95">
        <f t="shared" si="0"/>
        <v>0</v>
      </c>
      <c r="F16" s="95">
        <f>W_PFDA</f>
        <v>10</v>
      </c>
      <c r="G16" s="95">
        <f t="shared" si="1"/>
        <v>0.63636363636363635</v>
      </c>
      <c r="H16" s="95">
        <f>VLOOKUP($B16,EPCs!$B$5:$G$28,3,FALSE)</f>
        <v>3360</v>
      </c>
      <c r="I16" s="95">
        <f t="shared" si="2"/>
        <v>252.99213612050045</v>
      </c>
      <c r="J16" s="95">
        <f>VLOOKUP($B16,EPCs!$B$5:$G$28,5,FALSE)</f>
        <v>104000</v>
      </c>
      <c r="K16" s="95">
        <f t="shared" si="3"/>
        <v>11746.063462737518</v>
      </c>
      <c r="L16" s="95">
        <f t="shared" si="4"/>
        <v>11999.691962494382</v>
      </c>
      <c r="M16" s="95">
        <f t="shared" si="5"/>
        <v>1.1999691962494383E-2</v>
      </c>
      <c r="N16" s="95">
        <f>VLOOKUP($B16,TRVs_birds!$B$5:$J$28,2,FALSE)</f>
        <v>1</v>
      </c>
      <c r="O16" s="95" t="str">
        <f>VLOOKUP($B16,TRVs_birds!$B$5:$J$28,5,FALSE)</f>
        <v>No TRV</v>
      </c>
      <c r="P16" s="96">
        <f t="shared" si="6"/>
        <v>1.1999691962494383E-2</v>
      </c>
      <c r="Q16" s="96" t="str">
        <f t="shared" si="6"/>
        <v>--</v>
      </c>
      <c r="R16" s="164" t="str">
        <f>IF(ISBLANK(VLOOKUP($B16,TRVs_birds!$B$5:$J$28,8,FALSE)),"--",VLOOKUP($B16,TRVs_birds!$B$5:$J$28,8,FALSE))</f>
        <v>--</v>
      </c>
      <c r="S16" s="96" t="str">
        <f t="shared" si="7"/>
        <v>--</v>
      </c>
      <c r="T16" s="283" t="str">
        <f t="shared" si="8"/>
        <v/>
      </c>
    </row>
    <row r="17" spans="2:26">
      <c r="B17" s="80" t="s">
        <v>65</v>
      </c>
      <c r="C17" s="39">
        <v>1</v>
      </c>
      <c r="D17" s="94">
        <f>S_PFUnDA</f>
        <v>4000</v>
      </c>
      <c r="E17" s="95">
        <f t="shared" si="0"/>
        <v>0</v>
      </c>
      <c r="F17" s="95">
        <f>W_PFUnDA</f>
        <v>10</v>
      </c>
      <c r="G17" s="95">
        <f t="shared" si="1"/>
        <v>0.63636363636363635</v>
      </c>
      <c r="H17" s="95">
        <f>VLOOKUP($B17,EPCs!$B$5:$G$28,3,FALSE)</f>
        <v>3040</v>
      </c>
      <c r="I17" s="95">
        <f t="shared" si="2"/>
        <v>228.89764696616709</v>
      </c>
      <c r="J17" s="95">
        <f>VLOOKUP($B17,EPCs!$B$5:$G$28,5,FALSE)</f>
        <v>156000</v>
      </c>
      <c r="K17" s="95">
        <f t="shared" si="3"/>
        <v>17619.095194106278</v>
      </c>
      <c r="L17" s="95">
        <f t="shared" si="4"/>
        <v>17848.62920470881</v>
      </c>
      <c r="M17" s="95">
        <f t="shared" si="5"/>
        <v>1.784862920470881E-2</v>
      </c>
      <c r="N17" s="95" t="str">
        <f>VLOOKUP($B17,TRVs_birds!$B$5:$J$28,2,FALSE)</f>
        <v>No TRV</v>
      </c>
      <c r="O17" s="95" t="str">
        <f>VLOOKUP($B17,TRVs_birds!$B$5:$J$28,5,FALSE)</f>
        <v>No TRV</v>
      </c>
      <c r="P17" s="96" t="str">
        <f t="shared" si="6"/>
        <v>--</v>
      </c>
      <c r="Q17" s="96" t="str">
        <f t="shared" si="6"/>
        <v>--</v>
      </c>
      <c r="R17" s="164" t="str">
        <f>IF(ISBLANK(VLOOKUP($B17,TRVs_birds!$B$5:$J$28,8,FALSE)),"--",VLOOKUP($B17,TRVs_birds!$B$5:$J$28,8,FALSE))</f>
        <v>--</v>
      </c>
      <c r="S17" s="96" t="str">
        <f t="shared" si="7"/>
        <v>--</v>
      </c>
      <c r="T17" s="283" t="str">
        <f t="shared" si="8"/>
        <v/>
      </c>
    </row>
    <row r="18" spans="2:26">
      <c r="B18" s="80" t="s">
        <v>66</v>
      </c>
      <c r="C18" s="39">
        <v>1</v>
      </c>
      <c r="D18" s="94">
        <f>S_PFDoDA</f>
        <v>5000</v>
      </c>
      <c r="E18" s="95">
        <f t="shared" si="0"/>
        <v>0</v>
      </c>
      <c r="F18" s="95">
        <f>W_PFDoDA</f>
        <v>10</v>
      </c>
      <c r="G18" s="95">
        <f t="shared" si="1"/>
        <v>0.63636363636363635</v>
      </c>
      <c r="H18" s="95">
        <f>VLOOKUP($B18,EPCs!$B$5:$G$28,3,FALSE)</f>
        <v>3350</v>
      </c>
      <c r="I18" s="95">
        <f t="shared" si="2"/>
        <v>252.23918333442754</v>
      </c>
      <c r="J18" s="95">
        <f>VLOOKUP($B18,EPCs!$B$5:$G$28,5,FALSE)</f>
        <v>305000</v>
      </c>
      <c r="K18" s="95">
        <f t="shared" si="3"/>
        <v>34447.589962835998</v>
      </c>
      <c r="L18" s="95">
        <f t="shared" si="4"/>
        <v>34700.465509806789</v>
      </c>
      <c r="M18" s="95">
        <f t="shared" si="5"/>
        <v>3.4700465509806787E-2</v>
      </c>
      <c r="N18" s="95" t="str">
        <f>VLOOKUP($B18,TRVs_birds!$B$5:$J$28,2,FALSE)</f>
        <v>No TRV</v>
      </c>
      <c r="O18" s="95" t="str">
        <f>VLOOKUP($B18,TRVs_birds!$B$5:$J$28,5,FALSE)</f>
        <v>No TRV</v>
      </c>
      <c r="P18" s="96" t="str">
        <f t="shared" si="6"/>
        <v>--</v>
      </c>
      <c r="Q18" s="96" t="str">
        <f t="shared" si="6"/>
        <v>--</v>
      </c>
      <c r="R18" s="164" t="str">
        <f>IF(ISBLANK(VLOOKUP($B18,TRVs_birds!$B$5:$J$28,8,FALSE)),"--",VLOOKUP($B18,TRVs_birds!$B$5:$J$28,8,FALSE))</f>
        <v>--</v>
      </c>
      <c r="S18" s="96" t="str">
        <f t="shared" si="7"/>
        <v>--</v>
      </c>
      <c r="T18" s="283" t="str">
        <f t="shared" si="8"/>
        <v/>
      </c>
    </row>
    <row r="19" spans="2:26">
      <c r="B19" s="80" t="s">
        <v>67</v>
      </c>
      <c r="C19" s="39">
        <v>1</v>
      </c>
      <c r="D19" s="94">
        <f>S_PFTrDA</f>
        <v>5000</v>
      </c>
      <c r="E19" s="95">
        <f t="shared" si="0"/>
        <v>0</v>
      </c>
      <c r="F19" s="95">
        <f>W_PFTrDA</f>
        <v>10</v>
      </c>
      <c r="G19" s="95">
        <f t="shared" si="1"/>
        <v>0.63636363636363635</v>
      </c>
      <c r="H19" s="95" t="str">
        <f>VLOOKUP($B19,EPCs!$B$5:$G$28,3,FALSE)</f>
        <v>n/a</v>
      </c>
      <c r="I19" s="95" t="str">
        <f t="shared" si="2"/>
        <v>--</v>
      </c>
      <c r="J19" s="95" t="str">
        <f>VLOOKUP($B19,EPCs!$B$5:$G$28,5,FALSE)</f>
        <v>n/a</v>
      </c>
      <c r="K19" s="95" t="str">
        <f t="shared" si="3"/>
        <v>--</v>
      </c>
      <c r="L19" s="95">
        <f t="shared" si="4"/>
        <v>0.63636363636363635</v>
      </c>
      <c r="M19" s="95">
        <f t="shared" si="5"/>
        <v>6.363636363636364E-7</v>
      </c>
      <c r="N19" s="95" t="str">
        <f>VLOOKUP($B19,TRVs_birds!$B$5:$J$28,2,FALSE)</f>
        <v>No TRV</v>
      </c>
      <c r="O19" s="95" t="str">
        <f>VLOOKUP($B19,TRVs_birds!$B$5:$J$28,5,FALSE)</f>
        <v>No TRV</v>
      </c>
      <c r="P19" s="96" t="str">
        <f t="shared" si="6"/>
        <v>--</v>
      </c>
      <c r="Q19" s="96" t="str">
        <f t="shared" si="6"/>
        <v>--</v>
      </c>
      <c r="R19" s="164" t="str">
        <f>IF(ISBLANK(VLOOKUP($B19,TRVs_birds!$B$5:$J$28,8,FALSE)),"--",VLOOKUP($B19,TRVs_birds!$B$5:$J$28,8,FALSE))</f>
        <v>--</v>
      </c>
      <c r="S19" s="96" t="str">
        <f t="shared" si="7"/>
        <v>--</v>
      </c>
      <c r="T19" s="283" t="str">
        <f t="shared" si="8"/>
        <v>PU</v>
      </c>
    </row>
    <row r="20" spans="2:26">
      <c r="B20" s="80" t="s">
        <v>68</v>
      </c>
      <c r="C20" s="39">
        <v>1</v>
      </c>
      <c r="D20" s="94">
        <f>S_PFTeDA</f>
        <v>6000</v>
      </c>
      <c r="E20" s="95">
        <f t="shared" si="0"/>
        <v>0</v>
      </c>
      <c r="F20" s="95">
        <f>W_PFTeDA</f>
        <v>10</v>
      </c>
      <c r="G20" s="95">
        <f t="shared" si="1"/>
        <v>0.63636363636363635</v>
      </c>
      <c r="H20" s="95">
        <f>VLOOKUP($B20,EPCs!$B$5:$G$28,3,FALSE)</f>
        <v>10</v>
      </c>
      <c r="I20" s="95">
        <f t="shared" si="2"/>
        <v>0.75295278607291793</v>
      </c>
      <c r="J20" s="95">
        <f>VLOOKUP($B20,EPCs!$B$5:$G$28,5,FALSE)</f>
        <v>25</v>
      </c>
      <c r="K20" s="95">
        <f t="shared" si="3"/>
        <v>2.8235729477734424</v>
      </c>
      <c r="L20" s="95">
        <f t="shared" si="4"/>
        <v>4.2128893702099965</v>
      </c>
      <c r="M20" s="95">
        <f t="shared" si="5"/>
        <v>4.2128893702099965E-6</v>
      </c>
      <c r="N20" s="95" t="str">
        <f>VLOOKUP($B20,TRVs_birds!$B$5:$J$28,2,FALSE)</f>
        <v>No TRV</v>
      </c>
      <c r="O20" s="95" t="str">
        <f>VLOOKUP($B20,TRVs_birds!$B$5:$J$28,5,FALSE)</f>
        <v>No TRV</v>
      </c>
      <c r="P20" s="96" t="str">
        <f t="shared" si="6"/>
        <v>--</v>
      </c>
      <c r="Q20" s="96" t="str">
        <f t="shared" si="6"/>
        <v>--</v>
      </c>
      <c r="R20" s="164" t="str">
        <f>IF(ISBLANK(VLOOKUP($B20,TRVs_birds!$B$5:$J$28,8,FALSE)),"--",VLOOKUP($B20,TRVs_birds!$B$5:$J$28,8,FALSE))</f>
        <v>--</v>
      </c>
      <c r="S20" s="96" t="str">
        <f t="shared" si="7"/>
        <v>--</v>
      </c>
      <c r="T20" s="283" t="str">
        <f t="shared" si="8"/>
        <v/>
      </c>
    </row>
    <row r="21" spans="2:26">
      <c r="B21" s="202" t="s">
        <v>76</v>
      </c>
      <c r="C21" s="125"/>
      <c r="D21" s="67"/>
      <c r="E21" s="67"/>
      <c r="F21" s="67"/>
      <c r="G21" s="67"/>
      <c r="H21" s="67"/>
      <c r="I21" s="67"/>
      <c r="J21" s="67"/>
      <c r="K21" s="67"/>
      <c r="L21" s="67"/>
      <c r="M21" s="67"/>
      <c r="N21" s="67"/>
      <c r="O21" s="67"/>
      <c r="P21" s="67"/>
      <c r="Q21" s="67"/>
      <c r="R21" s="67"/>
      <c r="S21" s="67"/>
      <c r="T21" s="396"/>
    </row>
    <row r="22" spans="2:26">
      <c r="B22" s="80" t="s">
        <v>69</v>
      </c>
      <c r="C22" s="39">
        <v>1</v>
      </c>
      <c r="D22" s="94">
        <f>S_PFBS</f>
        <v>1000</v>
      </c>
      <c r="E22" s="95">
        <f>IFERROR(D22*$C22*B3_fir*B3_AUF*B3_Pso/B3_bw,"--")</f>
        <v>0</v>
      </c>
      <c r="F22" s="95">
        <f>W_PFBS</f>
        <v>10</v>
      </c>
      <c r="G22" s="95">
        <f>IFERROR(F22*B3_dwi*B3_AUF/B3_bw,"--")</f>
        <v>0.63636363636363635</v>
      </c>
      <c r="H22" s="95">
        <f>VLOOKUP($B22,EPCs!$B$5:$G$28,3,FALSE)</f>
        <v>40000</v>
      </c>
      <c r="I22" s="95">
        <f>IFERROR(H22*B3_FIRw*B3_AUF*B3_Pveg/B3_bw,"--")</f>
        <v>3011.811144291672</v>
      </c>
      <c r="J22" s="95">
        <f>VLOOKUP($B22,EPCs!$B$5:$G$28,5,FALSE)</f>
        <v>5</v>
      </c>
      <c r="K22" s="95">
        <f>IFERROR(J22*B3_FIRw*B3_AUF*B3_Pinv/B3_bw,"--")</f>
        <v>0.56471458955468845</v>
      </c>
      <c r="L22" s="95">
        <f>SUM(E22,G22,I22,K22)</f>
        <v>3013.0122225175901</v>
      </c>
      <c r="M22" s="95">
        <f t="shared" si="5"/>
        <v>3.0130122225175901E-3</v>
      </c>
      <c r="N22" s="95">
        <f>VLOOKUP($B22,TRVs_birds!$B$5:$J$28,2,FALSE)</f>
        <v>88</v>
      </c>
      <c r="O22" s="95" t="str">
        <f>VLOOKUP($B22,TRVs_birds!$B$5:$J$28,5,FALSE)</f>
        <v>No TRV</v>
      </c>
      <c r="P22" s="96">
        <f t="shared" ref="P22:Q25" si="9">IF(OR($M22=0,ISTEXT(N22)),"--",$M22/N22)</f>
        <v>3.4238775255881708E-5</v>
      </c>
      <c r="Q22" s="96" t="str">
        <f t="shared" si="9"/>
        <v>--</v>
      </c>
      <c r="R22" s="164" t="str">
        <f>IF(ISBLANK(VLOOKUP($B22,TRVs_birds!$B$5:$J$28,8,FALSE)),"--",VLOOKUP($B22,TRVs_birds!$B$5:$J$28,8,FALSE))</f>
        <v>--</v>
      </c>
      <c r="S22" s="96" t="str">
        <f t="shared" ref="S22:S25" si="10">IF(OR($M22=0,ISTEXT(R22)),"--",$M22/R22)</f>
        <v>--</v>
      </c>
      <c r="T22" s="283" t="str">
        <f t="shared" ref="T22:T25" si="11">IF(AND(H22="n/a",ISNUMBER($C$41),$C$41&gt;0),"PU",IF(AND(J22="n/a",ISNUMBER($C$42),$C$42&gt;0),"PU",""))</f>
        <v/>
      </c>
    </row>
    <row r="23" spans="2:26">
      <c r="B23" s="80" t="s">
        <v>70</v>
      </c>
      <c r="C23" s="39">
        <v>1</v>
      </c>
      <c r="D23" s="94">
        <f>S_PFHxS</f>
        <v>2000</v>
      </c>
      <c r="E23" s="95">
        <f>IFERROR(D23*$C23*B3_fir*B3_AUF*B3_Pso/B3_bw,"--")</f>
        <v>0</v>
      </c>
      <c r="F23" s="95">
        <f>W_PFHxS</f>
        <v>10</v>
      </c>
      <c r="G23" s="95">
        <f>IFERROR(F23*B3_dwi*B3_AUF/B3_bw,"--")</f>
        <v>0.63636363636363635</v>
      </c>
      <c r="H23" s="95">
        <f>VLOOKUP($B23,EPCs!$B$5:$G$28,3,FALSE)</f>
        <v>10</v>
      </c>
      <c r="I23" s="95">
        <f>IFERROR(H23*B3_FIRw*B3_AUF*B3_Pveg/B3_bw,"--")</f>
        <v>0.75295278607291793</v>
      </c>
      <c r="J23" s="95">
        <f>VLOOKUP($B23,EPCs!$B$5:$G$28,5,FALSE)</f>
        <v>68000</v>
      </c>
      <c r="K23" s="95">
        <f>IFERROR(J23*B3_FIRw*B3_AUF*B3_Pinv/B3_bw,"--")</f>
        <v>7680.1184179437632</v>
      </c>
      <c r="L23" s="95">
        <f t="shared" si="4"/>
        <v>7681.5077343661997</v>
      </c>
      <c r="M23" s="95">
        <f t="shared" si="5"/>
        <v>7.6815077343661995E-3</v>
      </c>
      <c r="N23" s="95" t="str">
        <f>VLOOKUP($B23,TRVs_birds!$B$5:$J$28,2,FALSE)</f>
        <v>No TRV</v>
      </c>
      <c r="O23" s="95" t="str">
        <f>VLOOKUP($B23,TRVs_birds!$B$5:$J$28,5,FALSE)</f>
        <v>No TRV</v>
      </c>
      <c r="P23" s="96" t="str">
        <f t="shared" si="9"/>
        <v>--</v>
      </c>
      <c r="Q23" s="96" t="str">
        <f t="shared" si="9"/>
        <v>--</v>
      </c>
      <c r="R23" s="164" t="str">
        <f>IF(ISBLANK(VLOOKUP($B23,TRVs_birds!$B$5:$J$28,8,FALSE)),"--",VLOOKUP($B23,TRVs_birds!$B$5:$J$28,8,FALSE))</f>
        <v>--</v>
      </c>
      <c r="S23" s="96" t="str">
        <f t="shared" si="10"/>
        <v>--</v>
      </c>
      <c r="T23" s="283" t="str">
        <f t="shared" si="11"/>
        <v/>
      </c>
    </row>
    <row r="24" spans="2:26">
      <c r="B24" s="80" t="s">
        <v>37</v>
      </c>
      <c r="C24" s="39">
        <v>1</v>
      </c>
      <c r="D24" s="94">
        <f>S_PFOS</f>
        <v>3000</v>
      </c>
      <c r="E24" s="95">
        <f>IFERROR(D24*$C24*B3_fir*B3_AUF*B3_Pso/B3_bw,"--")</f>
        <v>0</v>
      </c>
      <c r="F24" s="95">
        <f>W_PFOS</f>
        <v>10</v>
      </c>
      <c r="G24" s="95">
        <f>IFERROR(F24*B3_dwi*B3_AUF/B3_bw,"--")</f>
        <v>0.63636363636363635</v>
      </c>
      <c r="H24" s="95">
        <f>VLOOKUP($B24,EPCs!$B$5:$G$28,3,FALSE)</f>
        <v>13800</v>
      </c>
      <c r="I24" s="95">
        <f>IFERROR(H24*B3_FIRw*B3_AUF*B3_Pveg/B3_bw,"--")</f>
        <v>1039.0748447806268</v>
      </c>
      <c r="J24" s="95">
        <f>VLOOKUP($B24,EPCs!$B$5:$G$28,5,FALSE)</f>
        <v>8</v>
      </c>
      <c r="K24" s="95">
        <f>IFERROR(J24*B3_FIRw*B3_AUF*B3_Pinv/B3_bw,"--")</f>
        <v>0.90354334328750152</v>
      </c>
      <c r="L24" s="95">
        <f t="shared" si="4"/>
        <v>1040.6147517602781</v>
      </c>
      <c r="M24" s="95">
        <f t="shared" si="5"/>
        <v>1.040614751760278E-3</v>
      </c>
      <c r="N24" s="95">
        <f>VLOOKUP($B24,TRVs_birds!$B$5:$J$28,2,FALSE)</f>
        <v>0.77</v>
      </c>
      <c r="O24" s="95">
        <f>VLOOKUP($B24,TRVs_birds!$B$5:$J$28,5,FALSE)</f>
        <v>2.64</v>
      </c>
      <c r="P24" s="96">
        <f t="shared" si="9"/>
        <v>1.3514477295588025E-3</v>
      </c>
      <c r="Q24" s="96">
        <f t="shared" si="9"/>
        <v>3.9417225445465074E-4</v>
      </c>
      <c r="R24" s="164" t="str">
        <f>IF(ISBLANK(VLOOKUP($B24,TRVs_birds!$B$5:$J$28,8,FALSE)),"--",VLOOKUP($B24,TRVs_birds!$B$5:$J$28,8,FALSE))</f>
        <v>--</v>
      </c>
      <c r="S24" s="96" t="str">
        <f t="shared" si="10"/>
        <v>--</v>
      </c>
      <c r="T24" s="283" t="str">
        <f t="shared" si="11"/>
        <v/>
      </c>
    </row>
    <row r="25" spans="2:26">
      <c r="B25" s="80" t="s">
        <v>71</v>
      </c>
      <c r="C25" s="39">
        <v>1</v>
      </c>
      <c r="D25" s="94">
        <f>S_PFDS</f>
        <v>1000</v>
      </c>
      <c r="E25" s="95">
        <f>IFERROR(D25*$C25*B3_fir*B3_AUF*B3_Pso/B3_bw,"--")</f>
        <v>0</v>
      </c>
      <c r="F25" s="95">
        <f>W_PFDS</f>
        <v>10</v>
      </c>
      <c r="G25" s="95">
        <f>IFERROR(F25*B3_dwi*B3_AUF/B3_bw,"--")</f>
        <v>0.63636363636363635</v>
      </c>
      <c r="H25" s="95">
        <f>VLOOKUP($B25,EPCs!$B$5:$G$28,3,FALSE)</f>
        <v>180</v>
      </c>
      <c r="I25" s="95">
        <f>IFERROR(H25*B3_FIRw*B3_AUF*B3_Pveg/B3_bw,"--")</f>
        <v>13.553150149312524</v>
      </c>
      <c r="J25" s="95">
        <f>VLOOKUP($B25,EPCs!$B$5:$G$28,5,FALSE)</f>
        <v>1700.0000000000002</v>
      </c>
      <c r="K25" s="95">
        <f>IFERROR(J25*B3_FIRw*B3_AUF*B3_Pinv/B3_bw,"--")</f>
        <v>192.00296044859408</v>
      </c>
      <c r="L25" s="95">
        <f t="shared" si="4"/>
        <v>206.19247423427024</v>
      </c>
      <c r="M25" s="95">
        <f t="shared" si="5"/>
        <v>2.0619247423427024E-4</v>
      </c>
      <c r="N25" s="95" t="str">
        <f>VLOOKUP($B25,TRVs_birds!$B$5:$J$28,2,FALSE)</f>
        <v>No TRV</v>
      </c>
      <c r="O25" s="95" t="str">
        <f>VLOOKUP($B25,TRVs_birds!$B$5:$J$28,5,FALSE)</f>
        <v>No TRV</v>
      </c>
      <c r="P25" s="96" t="str">
        <f t="shared" si="9"/>
        <v>--</v>
      </c>
      <c r="Q25" s="96" t="str">
        <f t="shared" si="9"/>
        <v>--</v>
      </c>
      <c r="R25" s="164" t="str">
        <f>IF(ISBLANK(VLOOKUP($B25,TRVs_birds!$B$5:$J$28,8,FALSE)),"--",VLOOKUP($B25,TRVs_birds!$B$5:$J$28,8,FALSE))</f>
        <v>--</v>
      </c>
      <c r="S25" s="96" t="str">
        <f t="shared" si="10"/>
        <v>--</v>
      </c>
      <c r="T25" s="283" t="str">
        <f t="shared" si="11"/>
        <v/>
      </c>
    </row>
    <row r="26" spans="2:26">
      <c r="B26" s="202" t="s">
        <v>77</v>
      </c>
      <c r="C26" s="125"/>
      <c r="D26" s="67"/>
      <c r="E26" s="67"/>
      <c r="F26" s="67"/>
      <c r="G26" s="67"/>
      <c r="H26" s="67"/>
      <c r="I26" s="67"/>
      <c r="J26" s="67"/>
      <c r="K26" s="67"/>
      <c r="L26" s="67"/>
      <c r="M26" s="67"/>
      <c r="N26" s="67"/>
      <c r="O26" s="67"/>
      <c r="P26" s="67"/>
      <c r="Q26" s="67"/>
      <c r="R26" s="67"/>
      <c r="S26" s="67"/>
      <c r="T26" s="396"/>
    </row>
    <row r="27" spans="2:26">
      <c r="B27" s="80" t="s">
        <v>72</v>
      </c>
      <c r="C27" s="39">
        <v>1</v>
      </c>
      <c r="D27" s="94">
        <f>S_PFOSA</f>
        <v>1000</v>
      </c>
      <c r="E27" s="95">
        <f>IFERROR(D27*$C27*B3_fir*B3_AUF*B3_Pso/B3_bw,"--")</f>
        <v>0</v>
      </c>
      <c r="F27" s="95">
        <f>W_PFOSA</f>
        <v>10</v>
      </c>
      <c r="G27" s="95">
        <f>IFERROR(F27*B3_dwi*B3_AUF/B3_bw,"--")</f>
        <v>0.63636363636363635</v>
      </c>
      <c r="H27" s="95">
        <f>VLOOKUP($B27,EPCs!$B$5:$G$28,3,FALSE)</f>
        <v>33</v>
      </c>
      <c r="I27" s="95">
        <f>IFERROR(H27*B3_FIRw*B3_AUF*B3_Pveg/B3_bw,"--")</f>
        <v>2.484744194040629</v>
      </c>
      <c r="J27" s="95" t="str">
        <f>VLOOKUP($B27,EPCs!$B$5:$G$28,5,FALSE)</f>
        <v>n/a</v>
      </c>
      <c r="K27" s="95" t="str">
        <f>IFERROR(J27*B3_FIRw*B3_AUF*B3_Pinv/B3_bw,"--")</f>
        <v>--</v>
      </c>
      <c r="L27" s="95">
        <f t="shared" si="4"/>
        <v>3.1211078304042652</v>
      </c>
      <c r="M27" s="95">
        <f t="shared" si="5"/>
        <v>3.121107830404265E-6</v>
      </c>
      <c r="N27" s="95" t="str">
        <f>VLOOKUP($B27,TRVs_birds!$B$5:$J$28,2,FALSE)</f>
        <v>No TRV</v>
      </c>
      <c r="O27" s="95" t="str">
        <f>VLOOKUP($B27,TRVs_birds!$B$5:$J$28,5,FALSE)</f>
        <v>No TRV</v>
      </c>
      <c r="P27" s="96" t="str">
        <f t="shared" ref="P27:Q27" si="12">IF(OR($M27=0,ISTEXT(N27)),"--",$M27/N27)</f>
        <v>--</v>
      </c>
      <c r="Q27" s="96" t="str">
        <f t="shared" si="12"/>
        <v>--</v>
      </c>
      <c r="R27" s="395" t="str">
        <f>IF(ISBLANK(VLOOKUP($B27,TRVs_birds!$B$5:$J$28,8,FALSE)),"--",VLOOKUP($B27,TRVs_birds!$B$5:$J$28,8,FALSE))</f>
        <v>--</v>
      </c>
      <c r="S27" s="96" t="str">
        <f>IF(OR($M27=0,ISTEXT(R27)),"--",$M27/R27)</f>
        <v>--</v>
      </c>
      <c r="T27" s="283" t="str">
        <f>IF(AND(H27="n/a",ISNUMBER($C$41),$C$41&gt;0),"PU",IF(AND(J27="n/a",ISNUMBER($C$42),$C$42&gt;0),"PU",""))</f>
        <v>PU</v>
      </c>
    </row>
    <row r="28" spans="2:26">
      <c r="B28" s="202" t="s">
        <v>78</v>
      </c>
      <c r="C28" s="125"/>
      <c r="D28" s="67"/>
      <c r="E28" s="67"/>
      <c r="F28" s="67"/>
      <c r="G28" s="67"/>
      <c r="H28" s="67"/>
      <c r="I28" s="67"/>
      <c r="J28" s="67"/>
      <c r="K28" s="67"/>
      <c r="L28" s="67"/>
      <c r="M28" s="67"/>
      <c r="N28" s="67"/>
      <c r="O28" s="67"/>
      <c r="P28" s="67"/>
      <c r="Q28" s="67"/>
      <c r="R28" s="67"/>
      <c r="S28" s="67"/>
      <c r="T28" s="84"/>
    </row>
    <row r="29" spans="2:26">
      <c r="B29" s="80" t="s">
        <v>73</v>
      </c>
      <c r="C29" s="39">
        <v>1</v>
      </c>
      <c r="D29" s="94">
        <f>S_NEtFOSAA</f>
        <v>1000</v>
      </c>
      <c r="E29" s="95">
        <f>IFERROR(D29*$C29*B3_fir*B3_AUF*B3_Pso/B3_bw,"--")</f>
        <v>0</v>
      </c>
      <c r="F29" s="95">
        <f>W_NEtFOSAA</f>
        <v>10</v>
      </c>
      <c r="G29" s="95">
        <f>IFERROR(F29*B3_dwi*B3_AUF/B3_bw,"--")</f>
        <v>0.63636363636363635</v>
      </c>
      <c r="H29" s="95">
        <f>VLOOKUP($B29,EPCs!$B$5:$G$28,3,FALSE)</f>
        <v>10</v>
      </c>
      <c r="I29" s="95">
        <f>IFERROR(H29*B3_FIRw*B3_AUF*B3_Pveg/B3_bw,"--")</f>
        <v>0.75295278607291793</v>
      </c>
      <c r="J29" s="95">
        <f>VLOOKUP($B29,EPCs!$B$5:$G$28,5,FALSE)</f>
        <v>45</v>
      </c>
      <c r="K29" s="95">
        <f>IFERROR(J29*B3_FIRw*B3_AUF*B3_Pinv/B3_bw,"--")</f>
        <v>5.0824313059921957</v>
      </c>
      <c r="L29" s="95">
        <f t="shared" si="4"/>
        <v>6.4717477284287499</v>
      </c>
      <c r="M29" s="95">
        <f t="shared" si="5"/>
        <v>6.47174772842875E-6</v>
      </c>
      <c r="N29" s="95" t="str">
        <f>VLOOKUP($B29,TRVs_birds!$B$5:$J$28,2,FALSE)</f>
        <v>No TRV</v>
      </c>
      <c r="O29" s="95" t="str">
        <f>VLOOKUP($B29,TRVs_birds!$B$5:$J$28,5,FALSE)</f>
        <v>No TRV</v>
      </c>
      <c r="P29" s="96" t="str">
        <f t="shared" ref="P29:Q30" si="13">IF(OR($M29=0,ISTEXT(N29)),"--",$M29/N29)</f>
        <v>--</v>
      </c>
      <c r="Q29" s="96" t="str">
        <f t="shared" si="13"/>
        <v>--</v>
      </c>
      <c r="R29" s="164" t="str">
        <f>IF(ISBLANK(VLOOKUP($B29,TRVs_birds!$B$5:$J$28,8,FALSE)),"--",VLOOKUP($B29,TRVs_birds!$B$5:$J$28,8,FALSE))</f>
        <v>--</v>
      </c>
      <c r="S29" s="96" t="str">
        <f t="shared" ref="S29:S30" si="14">IF(OR($M29=0,ISTEXT(R29)),"--",$M29/R29)</f>
        <v>--</v>
      </c>
      <c r="T29" s="283" t="str">
        <f t="shared" ref="T29:T30" si="15">IF(AND(H29="n/a",ISNUMBER($C$41),$C$41&gt;0),"PU",IF(AND(J29="n/a",ISNUMBER($C$42),$C$42&gt;0),"PU",""))</f>
        <v/>
      </c>
    </row>
    <row r="30" spans="2:26">
      <c r="B30" s="81" t="s">
        <v>74</v>
      </c>
      <c r="C30" s="39">
        <v>1</v>
      </c>
      <c r="D30" s="94">
        <f>S_NMeFOSAA</f>
        <v>1000</v>
      </c>
      <c r="E30" s="95">
        <f>IFERROR(D30*$C30*B3_fir*B3_AUF*B3_Pso/B3_bw,"--")</f>
        <v>0</v>
      </c>
      <c r="F30" s="95">
        <f>W_NMeFOSAA</f>
        <v>10</v>
      </c>
      <c r="G30" s="95">
        <f>IFERROR(F30*B3_dwi*B3_AUF/B3_bw,"--")</f>
        <v>0.63636363636363635</v>
      </c>
      <c r="H30" s="95" t="str">
        <f>VLOOKUP($B30,EPCs!$B$5:$G$28,3,FALSE)</f>
        <v>n/a</v>
      </c>
      <c r="I30" s="95" t="str">
        <f>IFERROR(H30*B3_FIRw*B3_AUF*B3_Pveg/B3_bw,"--")</f>
        <v>--</v>
      </c>
      <c r="J30" s="95" t="str">
        <f>VLOOKUP($B30,EPCs!$B$5:$G$28,5,FALSE)</f>
        <v>n/a</v>
      </c>
      <c r="K30" s="95" t="str">
        <f>IFERROR(J30*B3_FIRw*B3_AUF*B3_Pinv/B3_bw,"--")</f>
        <v>--</v>
      </c>
      <c r="L30" s="95">
        <f t="shared" si="4"/>
        <v>0.63636363636363635</v>
      </c>
      <c r="M30" s="95">
        <f t="shared" si="5"/>
        <v>6.363636363636364E-7</v>
      </c>
      <c r="N30" s="95" t="str">
        <f>VLOOKUP($B30,TRVs_birds!$B$5:$J$28,2,FALSE)</f>
        <v>No TRV</v>
      </c>
      <c r="O30" s="95" t="str">
        <f>VLOOKUP($B30,TRVs_birds!$B$5:$J$28,5,FALSE)</f>
        <v>No TRV</v>
      </c>
      <c r="P30" s="96" t="str">
        <f t="shared" si="13"/>
        <v>--</v>
      </c>
      <c r="Q30" s="96" t="str">
        <f t="shared" si="13"/>
        <v>--</v>
      </c>
      <c r="R30" s="164" t="str">
        <f>IF(ISBLANK(VLOOKUP($B30,TRVs_birds!$B$5:$J$28,8,FALSE)),"--",VLOOKUP($B30,TRVs_birds!$B$5:$J$28,8,FALSE))</f>
        <v>--</v>
      </c>
      <c r="S30" s="96" t="str">
        <f t="shared" si="14"/>
        <v>--</v>
      </c>
      <c r="T30" s="283" t="str">
        <f t="shared" si="15"/>
        <v>PU</v>
      </c>
    </row>
    <row r="31" spans="2:26" ht="14.4">
      <c r="B31" s="43"/>
      <c r="C31" s="97"/>
      <c r="D31" s="97"/>
      <c r="E31" s="97"/>
      <c r="F31" s="97"/>
      <c r="G31" s="97"/>
      <c r="H31" s="98"/>
      <c r="I31" s="97"/>
      <c r="J31" s="97"/>
      <c r="K31" s="97"/>
      <c r="L31"/>
      <c r="M31"/>
      <c r="N31"/>
      <c r="O31"/>
      <c r="P31"/>
      <c r="Q31"/>
      <c r="R31"/>
      <c r="S31"/>
      <c r="T31"/>
      <c r="U31"/>
      <c r="V31"/>
      <c r="W31"/>
    </row>
    <row r="32" spans="2:26">
      <c r="B32" s="31" t="s">
        <v>1</v>
      </c>
      <c r="C32" s="14"/>
      <c r="E32" s="222"/>
      <c r="F32" s="222"/>
      <c r="G32" s="222"/>
      <c r="H32" s="222"/>
      <c r="L32" s="100"/>
      <c r="M32" s="100"/>
      <c r="N32" s="100"/>
      <c r="O32" s="100"/>
      <c r="P32" s="100"/>
      <c r="Q32" s="100"/>
      <c r="R32" s="100"/>
      <c r="S32" s="100"/>
      <c r="T32" s="100"/>
      <c r="U32" s="100"/>
      <c r="V32" s="100"/>
      <c r="W32" s="100"/>
      <c r="X32" s="100"/>
      <c r="Y32" s="100"/>
      <c r="Z32" s="100"/>
    </row>
    <row r="33" spans="2:18">
      <c r="B33" s="234" t="s">
        <v>373</v>
      </c>
      <c r="C33" s="103"/>
      <c r="D33" s="101"/>
      <c r="E33" s="19"/>
      <c r="F33" s="19"/>
      <c r="G33" s="19"/>
      <c r="H33" s="19"/>
      <c r="I33" s="101"/>
      <c r="J33" s="101"/>
      <c r="K33" s="101"/>
      <c r="L33" s="103"/>
      <c r="M33" s="101"/>
      <c r="N33" s="101"/>
      <c r="P33" s="101"/>
      <c r="Q33" s="101"/>
      <c r="R33" s="101"/>
    </row>
    <row r="34" spans="2:18">
      <c r="B34" s="234"/>
      <c r="C34" s="103"/>
      <c r="D34" s="101"/>
      <c r="E34" s="19"/>
      <c r="F34" s="19"/>
      <c r="G34" s="19"/>
      <c r="H34" s="19"/>
      <c r="I34" s="101"/>
      <c r="J34" s="101"/>
      <c r="K34" s="101"/>
      <c r="L34" s="103"/>
      <c r="M34" s="101"/>
      <c r="N34" s="101"/>
      <c r="P34" s="101"/>
      <c r="Q34" s="101"/>
      <c r="R34" s="101"/>
    </row>
    <row r="35" spans="2:18" ht="15.6">
      <c r="B35" s="293" t="s">
        <v>158</v>
      </c>
      <c r="C35" s="104"/>
      <c r="D35" s="222"/>
      <c r="E35" s="105"/>
      <c r="F35" s="105"/>
      <c r="G35" s="105"/>
      <c r="H35" s="105"/>
      <c r="I35" s="105"/>
      <c r="J35" s="103"/>
      <c r="K35" s="103"/>
      <c r="L35" s="103"/>
      <c r="M35" s="101"/>
      <c r="N35" s="101"/>
      <c r="P35" s="101"/>
      <c r="Q35" s="101"/>
      <c r="R35" s="101"/>
    </row>
    <row r="36" spans="2:18">
      <c r="B36" s="104"/>
      <c r="C36" s="104"/>
      <c r="D36" s="222"/>
      <c r="E36" s="105"/>
      <c r="F36" s="105"/>
      <c r="G36" s="105"/>
      <c r="H36" s="105"/>
      <c r="I36" s="105"/>
      <c r="J36" s="103"/>
      <c r="K36" s="103"/>
      <c r="L36" s="103"/>
      <c r="M36" s="101"/>
      <c r="N36" s="101"/>
      <c r="P36" s="101"/>
      <c r="Q36" s="101"/>
      <c r="R36" s="101"/>
    </row>
    <row r="37" spans="2:18">
      <c r="B37" s="405" t="s">
        <v>191</v>
      </c>
      <c r="C37" s="295" t="s">
        <v>53</v>
      </c>
      <c r="D37" s="294" t="s">
        <v>2</v>
      </c>
      <c r="E37" s="296" t="s">
        <v>51</v>
      </c>
      <c r="H37" s="103"/>
      <c r="J37" s="103"/>
      <c r="K37" s="103"/>
      <c r="M37" s="103"/>
      <c r="N37" s="103"/>
      <c r="O37" s="103"/>
    </row>
    <row r="38" spans="2:18" ht="15.6">
      <c r="B38" s="406" t="s">
        <v>159</v>
      </c>
      <c r="C38" s="491" t="s">
        <v>136</v>
      </c>
      <c r="D38" s="105" t="s">
        <v>18</v>
      </c>
      <c r="E38" s="101" t="s">
        <v>160</v>
      </c>
      <c r="H38" s="103"/>
      <c r="J38" s="103"/>
      <c r="M38" s="103"/>
    </row>
    <row r="39" spans="2:18" ht="15.6">
      <c r="B39" s="407" t="s">
        <v>161</v>
      </c>
      <c r="C39" s="491"/>
      <c r="D39" s="139" t="s">
        <v>192</v>
      </c>
      <c r="E39" s="101" t="s">
        <v>42</v>
      </c>
      <c r="H39" s="103"/>
      <c r="J39" s="103"/>
    </row>
    <row r="40" spans="2:18">
      <c r="B40" s="406" t="s">
        <v>17</v>
      </c>
      <c r="C40" s="491"/>
      <c r="D40" s="105" t="s">
        <v>19</v>
      </c>
      <c r="E40" s="234" t="s">
        <v>375</v>
      </c>
      <c r="H40" s="103"/>
      <c r="J40" s="103"/>
    </row>
    <row r="41" spans="2:18" ht="15.6">
      <c r="B41" s="407" t="s">
        <v>92</v>
      </c>
      <c r="C41" s="281">
        <f>B3_Pveg</f>
        <v>0.4</v>
      </c>
      <c r="D41" s="105" t="s">
        <v>15</v>
      </c>
      <c r="E41" s="101" t="s">
        <v>20</v>
      </c>
      <c r="H41" s="103"/>
      <c r="J41" s="103"/>
    </row>
    <row r="42" spans="2:18" ht="15.6">
      <c r="B42" s="408" t="s">
        <v>308</v>
      </c>
      <c r="C42" s="281">
        <f>B3_Pinv</f>
        <v>0.6</v>
      </c>
      <c r="D42" s="105" t="s">
        <v>15</v>
      </c>
      <c r="E42" s="238" t="s">
        <v>469</v>
      </c>
      <c r="H42" s="103"/>
      <c r="J42" s="103"/>
    </row>
    <row r="43" spans="2:18" ht="15.6">
      <c r="B43" s="407" t="s">
        <v>93</v>
      </c>
      <c r="C43" s="281">
        <f>B3_Pso</f>
        <v>0</v>
      </c>
      <c r="D43" s="105" t="s">
        <v>15</v>
      </c>
      <c r="E43" s="238" t="s">
        <v>384</v>
      </c>
      <c r="H43" s="101"/>
      <c r="J43" s="103"/>
    </row>
    <row r="44" spans="2:18" ht="15.6">
      <c r="B44" s="407" t="s">
        <v>133</v>
      </c>
      <c r="C44" s="144">
        <f>B3_fir</f>
        <v>1.3720369910684638E-2</v>
      </c>
      <c r="D44" s="105" t="s">
        <v>21</v>
      </c>
      <c r="E44" s="360" t="s">
        <v>525</v>
      </c>
      <c r="F44" s="24"/>
      <c r="G44" s="24"/>
      <c r="H44" s="140"/>
      <c r="J44" s="103"/>
    </row>
    <row r="45" spans="2:18" ht="15.6">
      <c r="B45" s="407" t="s">
        <v>132</v>
      </c>
      <c r="C45" s="144">
        <f>B3_FIRw</f>
        <v>3.7685286942949543E-2</v>
      </c>
      <c r="D45" s="105" t="s">
        <v>21</v>
      </c>
      <c r="E45" s="101" t="s">
        <v>267</v>
      </c>
      <c r="H45" s="101"/>
      <c r="J45" s="103"/>
    </row>
    <row r="46" spans="2:18">
      <c r="B46" s="407" t="s">
        <v>14</v>
      </c>
      <c r="C46" s="281">
        <f>B3_AUF</f>
        <v>0.45454545454545453</v>
      </c>
      <c r="D46" s="105" t="s">
        <v>15</v>
      </c>
      <c r="E46" s="101" t="s">
        <v>25</v>
      </c>
      <c r="H46" s="103"/>
      <c r="J46" s="103"/>
    </row>
    <row r="47" spans="2:18">
      <c r="B47" s="407" t="s">
        <v>5</v>
      </c>
      <c r="C47" s="281">
        <f>B3_bw</f>
        <v>9.0999999999999998E-2</v>
      </c>
      <c r="D47" s="105" t="s">
        <v>26</v>
      </c>
      <c r="E47" s="101" t="s">
        <v>6</v>
      </c>
      <c r="H47" s="103"/>
      <c r="J47" s="103"/>
      <c r="K47" s="103"/>
    </row>
    <row r="48" spans="2:18">
      <c r="B48" s="407" t="s">
        <v>388</v>
      </c>
      <c r="C48" s="279">
        <f>B3_dwi</f>
        <v>1.2740000000000001E-2</v>
      </c>
      <c r="D48" s="267" t="s">
        <v>390</v>
      </c>
      <c r="E48" s="433" t="s">
        <v>389</v>
      </c>
      <c r="I48" s="103"/>
      <c r="J48" s="103"/>
      <c r="K48" s="103"/>
    </row>
    <row r="49" spans="2:20" ht="14.4">
      <c r="C49" s="14"/>
      <c r="D49" s="235"/>
      <c r="E49" s="279"/>
      <c r="F49" s="267"/>
      <c r="G49" s="256"/>
      <c r="I49" s="103"/>
      <c r="J49" s="103"/>
      <c r="K49" s="103"/>
    </row>
    <row r="50" spans="2:20">
      <c r="B50" s="238" t="s">
        <v>383</v>
      </c>
      <c r="C50" s="101"/>
      <c r="D50" s="103"/>
      <c r="I50" s="103"/>
      <c r="J50" s="103"/>
    </row>
    <row r="51" spans="2:20">
      <c r="B51" s="487" t="s">
        <v>458</v>
      </c>
      <c r="C51" s="487"/>
      <c r="D51" s="487"/>
      <c r="E51" s="487"/>
      <c r="F51" s="487"/>
      <c r="G51" s="487"/>
      <c r="H51" s="487"/>
      <c r="I51" s="487"/>
      <c r="J51" s="487"/>
      <c r="K51" s="487"/>
      <c r="L51" s="487"/>
      <c r="M51" s="487"/>
      <c r="N51" s="487"/>
      <c r="O51" s="487"/>
      <c r="P51" s="487"/>
      <c r="Q51" s="487"/>
      <c r="R51" s="487"/>
      <c r="S51" s="487"/>
      <c r="T51" s="487"/>
    </row>
    <row r="52" spans="2:20">
      <c r="B52" s="487"/>
      <c r="C52" s="487"/>
      <c r="D52" s="487"/>
      <c r="E52" s="487"/>
      <c r="F52" s="487"/>
      <c r="G52" s="487"/>
      <c r="H52" s="487"/>
      <c r="I52" s="487"/>
      <c r="J52" s="487"/>
      <c r="K52" s="487"/>
      <c r="L52" s="487"/>
      <c r="M52" s="487"/>
      <c r="N52" s="487"/>
      <c r="O52" s="487"/>
      <c r="P52" s="487"/>
      <c r="Q52" s="487"/>
      <c r="R52" s="487"/>
      <c r="S52" s="487"/>
      <c r="T52" s="487"/>
    </row>
    <row r="53" spans="2:20">
      <c r="B53" s="284"/>
      <c r="C53" s="284"/>
      <c r="D53" s="284"/>
      <c r="E53" s="284"/>
      <c r="F53" s="284"/>
      <c r="G53" s="284"/>
      <c r="H53" s="284"/>
      <c r="I53" s="284"/>
      <c r="J53" s="284"/>
      <c r="K53" s="284"/>
      <c r="L53" s="284"/>
      <c r="M53" s="284"/>
      <c r="N53" s="284"/>
      <c r="O53" s="284"/>
      <c r="P53" s="284"/>
      <c r="Q53" s="284"/>
      <c r="R53" s="284"/>
      <c r="S53" s="284"/>
      <c r="T53" s="284"/>
    </row>
    <row r="54" spans="2:20">
      <c r="B54" s="31" t="s">
        <v>22</v>
      </c>
      <c r="C54" s="14"/>
    </row>
    <row r="55" spans="2:20">
      <c r="B55" s="16" t="s">
        <v>45</v>
      </c>
      <c r="C55" s="14" t="s">
        <v>296</v>
      </c>
      <c r="J55" s="206"/>
    </row>
    <row r="56" spans="2:20">
      <c r="B56" s="16" t="s">
        <v>47</v>
      </c>
      <c r="C56" s="206" t="s">
        <v>298</v>
      </c>
    </row>
    <row r="57" spans="2:20">
      <c r="B57" s="13" t="s">
        <v>259</v>
      </c>
      <c r="C57" s="14" t="s">
        <v>294</v>
      </c>
    </row>
    <row r="58" spans="2:20">
      <c r="B58" s="13" t="s">
        <v>261</v>
      </c>
      <c r="C58" s="14" t="s">
        <v>295</v>
      </c>
    </row>
    <row r="59" spans="2:20">
      <c r="B59" s="14" t="s">
        <v>223</v>
      </c>
      <c r="C59" s="14"/>
    </row>
    <row r="60" spans="2:20">
      <c r="B60" s="159" t="s">
        <v>50</v>
      </c>
      <c r="C60" s="14"/>
    </row>
  </sheetData>
  <mergeCells count="17">
    <mergeCell ref="J6:K6"/>
    <mergeCell ref="F6:G6"/>
    <mergeCell ref="B51:T52"/>
    <mergeCell ref="C38:C40"/>
    <mergeCell ref="T6:T7"/>
    <mergeCell ref="B6:B8"/>
    <mergeCell ref="C6:C8"/>
    <mergeCell ref="D6:E6"/>
    <mergeCell ref="H6:I6"/>
    <mergeCell ref="S6:S7"/>
    <mergeCell ref="L6:L7"/>
    <mergeCell ref="M6:M7"/>
    <mergeCell ref="N6:N7"/>
    <mergeCell ref="O6:O7"/>
    <mergeCell ref="P6:P7"/>
    <mergeCell ref="Q6:Q7"/>
    <mergeCell ref="R6:R7"/>
  </mergeCells>
  <conditionalFormatting sqref="F7:F20 F22:F25 F27 F29:F30">
    <cfRule type="expression" dxfId="159" priority="70">
      <formula>ISBLANK(surface_water)</formula>
    </cfRule>
  </conditionalFormatting>
  <conditionalFormatting sqref="G7:G20 G22:G25 G27 G29:G30">
    <cfRule type="expression" dxfId="158" priority="69">
      <formula>ISBLANK(surface_water)</formula>
    </cfRule>
  </conditionalFormatting>
  <conditionalFormatting sqref="F6:G6">
    <cfRule type="expression" dxfId="157" priority="68">
      <formula>ISBLANK(surface_water)</formula>
    </cfRule>
  </conditionalFormatting>
  <conditionalFormatting sqref="D49:G49 C48:D48">
    <cfRule type="expression" dxfId="156" priority="66">
      <formula>ISBLANK(surface_water)</formula>
    </cfRule>
  </conditionalFormatting>
  <conditionalFormatting sqref="F21">
    <cfRule type="expression" dxfId="155" priority="34">
      <formula>ISBLANK(surface_water)</formula>
    </cfRule>
  </conditionalFormatting>
  <conditionalFormatting sqref="G21">
    <cfRule type="expression" dxfId="154" priority="33">
      <formula>ISBLANK(surface_water)</formula>
    </cfRule>
  </conditionalFormatting>
  <conditionalFormatting sqref="F26">
    <cfRule type="expression" dxfId="153" priority="31">
      <formula>ISBLANK(surface_water)</formula>
    </cfRule>
  </conditionalFormatting>
  <conditionalFormatting sqref="G26">
    <cfRule type="expression" dxfId="152" priority="30">
      <formula>ISBLANK(surface_water)</formula>
    </cfRule>
  </conditionalFormatting>
  <conditionalFormatting sqref="F28">
    <cfRule type="expression" dxfId="151" priority="28">
      <formula>ISBLANK(surface_water)</formula>
    </cfRule>
  </conditionalFormatting>
  <conditionalFormatting sqref="G28">
    <cfRule type="expression" dxfId="150" priority="27">
      <formula>ISBLANK(surface_water)</formula>
    </cfRule>
  </conditionalFormatting>
  <conditionalFormatting sqref="E48">
    <cfRule type="expression" dxfId="149" priority="26">
      <formula>ISBLANK(surface_water)</formula>
    </cfRule>
  </conditionalFormatting>
  <conditionalFormatting sqref="D10:O30 R10:R30 T10:T30">
    <cfRule type="cellIs" dxfId="148" priority="25" operator="equal">
      <formula>0</formula>
    </cfRule>
  </conditionalFormatting>
  <conditionalFormatting sqref="P10:Q20">
    <cfRule type="expression" dxfId="147" priority="24">
      <formula>AND(ISNUMBER(P10),P10&gt;1)</formula>
    </cfRule>
  </conditionalFormatting>
  <conditionalFormatting sqref="Q10:Q20">
    <cfRule type="expression" dxfId="146" priority="23">
      <formula>AND(ISNUMBER(Q10),Q10&gt;1)</formula>
    </cfRule>
  </conditionalFormatting>
  <conditionalFormatting sqref="P12:P20 P22:P25 P27 P29:P30">
    <cfRule type="expression" dxfId="145" priority="22">
      <formula>AND(ISNUMBER(P12),P12&gt;1)</formula>
    </cfRule>
  </conditionalFormatting>
  <conditionalFormatting sqref="Q12:Q20 Q22:Q25 Q27 Q29:Q30">
    <cfRule type="expression" dxfId="144" priority="21">
      <formula>AND(ISNUMBER(Q12),Q12&gt;1)</formula>
    </cfRule>
  </conditionalFormatting>
  <conditionalFormatting sqref="P10:Q30">
    <cfRule type="expression" dxfId="143" priority="20">
      <formula>"$P$10:$Q$30,&gt;1)"</formula>
    </cfRule>
  </conditionalFormatting>
  <conditionalFormatting sqref="P11">
    <cfRule type="expression" dxfId="142" priority="19">
      <formula>AND(ISNUMBER(P11),P11&gt;1)</formula>
    </cfRule>
  </conditionalFormatting>
  <conditionalFormatting sqref="Q11">
    <cfRule type="expression" dxfId="141" priority="18">
      <formula>AND(ISNUMBER(Q11),Q11&gt;1)</formula>
    </cfRule>
  </conditionalFormatting>
  <conditionalFormatting sqref="P11:Q11">
    <cfRule type="expression" dxfId="140" priority="17">
      <formula>"$P$10:$Q$30,&gt;1)"</formula>
    </cfRule>
  </conditionalFormatting>
  <conditionalFormatting sqref="P10:Q30">
    <cfRule type="cellIs" dxfId="139" priority="16" operator="equal">
      <formula>0</formula>
    </cfRule>
  </conditionalFormatting>
  <conditionalFormatting sqref="P22:Q25">
    <cfRule type="expression" dxfId="138" priority="15">
      <formula>AND(ISNUMBER(P22),P22&gt;1)</formula>
    </cfRule>
  </conditionalFormatting>
  <conditionalFormatting sqref="Q22:Q25">
    <cfRule type="expression" dxfId="137" priority="14">
      <formula>AND(ISNUMBER(Q22),Q22&gt;1)</formula>
    </cfRule>
  </conditionalFormatting>
  <conditionalFormatting sqref="P27:Q27">
    <cfRule type="expression" dxfId="136" priority="13">
      <formula>AND(ISNUMBER(P27),P27&gt;1)</formula>
    </cfRule>
  </conditionalFormatting>
  <conditionalFormatting sqref="Q27">
    <cfRule type="expression" dxfId="135" priority="12">
      <formula>AND(ISNUMBER(Q27),Q27&gt;1)</formula>
    </cfRule>
  </conditionalFormatting>
  <conditionalFormatting sqref="P29:Q30">
    <cfRule type="expression" dxfId="134" priority="11">
      <formula>AND(ISNUMBER(P29),P29&gt;1)</formula>
    </cfRule>
  </conditionalFormatting>
  <conditionalFormatting sqref="Q29:Q30">
    <cfRule type="expression" dxfId="133" priority="10">
      <formula>AND(ISNUMBER(Q29),Q29&gt;1)</formula>
    </cfRule>
  </conditionalFormatting>
  <conditionalFormatting sqref="S10:S30">
    <cfRule type="cellIs" dxfId="132" priority="9" operator="equal">
      <formula>0</formula>
    </cfRule>
  </conditionalFormatting>
  <conditionalFormatting sqref="S10:S20">
    <cfRule type="expression" dxfId="131" priority="8">
      <formula>AND(ISNUMBER(S10),S10&gt;1)</formula>
    </cfRule>
  </conditionalFormatting>
  <conditionalFormatting sqref="S10:S20">
    <cfRule type="expression" dxfId="130" priority="7">
      <formula>"$P$10:$Q$30,&gt;1)"</formula>
    </cfRule>
  </conditionalFormatting>
  <conditionalFormatting sqref="S22:S25">
    <cfRule type="expression" dxfId="129" priority="6">
      <formula>AND(ISNUMBER(S22),S22&gt;1)</formula>
    </cfRule>
  </conditionalFormatting>
  <conditionalFormatting sqref="S22:S25">
    <cfRule type="expression" dxfId="128" priority="5">
      <formula>"$P$10:$Q$30,&gt;1)"</formula>
    </cfRule>
  </conditionalFormatting>
  <conditionalFormatting sqref="S27">
    <cfRule type="expression" dxfId="127" priority="4">
      <formula>AND(ISNUMBER(S27),S27&gt;1)</formula>
    </cfRule>
  </conditionalFormatting>
  <conditionalFormatting sqref="S27">
    <cfRule type="expression" dxfId="126" priority="3">
      <formula>"$P$10:$Q$30,&gt;1)"</formula>
    </cfRule>
  </conditionalFormatting>
  <conditionalFormatting sqref="S29:S30">
    <cfRule type="expression" dxfId="125" priority="2">
      <formula>AND(ISNUMBER(S29),S29&gt;1)</formula>
    </cfRule>
  </conditionalFormatting>
  <conditionalFormatting sqref="S29:S30">
    <cfRule type="expression" dxfId="124" priority="1">
      <formula>"$P$10:$Q$30,&gt;1)"</formula>
    </cfRule>
  </conditionalFormatting>
  <pageMargins left="0.7" right="0.7" top="0.75" bottom="0.75" header="0.3" footer="0.3"/>
  <pageSetup paperSize="119" scale="22" orientation="landscape" verticalDpi="1200" r:id="rId1"/>
  <headerFooter>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376D-D44E-44AA-84F4-95E034B3733D}">
  <sheetPr>
    <tabColor rgb="FFFFFFCC"/>
    <pageSetUpPr fitToPage="1"/>
  </sheetPr>
  <dimension ref="B2:Z60"/>
  <sheetViews>
    <sheetView view="pageBreakPreview" zoomScale="85" zoomScaleNormal="100" zoomScaleSheetLayoutView="85" zoomScalePageLayoutView="55" workbookViewId="0">
      <selection activeCell="B6" sqref="B6:B8"/>
    </sheetView>
  </sheetViews>
  <sheetFormatPr defaultColWidth="9.21875" defaultRowHeight="13.2" outlineLevelCol="1"/>
  <cols>
    <col min="1" max="1" width="1.77734375" style="14" customWidth="1"/>
    <col min="2" max="2" width="25.21875" style="14" customWidth="1"/>
    <col min="3" max="3" width="9.21875" style="18" customWidth="1"/>
    <col min="4" max="5" width="10.77734375" style="14" customWidth="1"/>
    <col min="6" max="7" width="10.77734375" style="14" customWidth="1" outlineLevel="1"/>
    <col min="8" max="8" width="10.77734375" style="14" customWidth="1"/>
    <col min="9" max="9" width="12.44140625" style="14" customWidth="1"/>
    <col min="10" max="10" width="11" style="14" customWidth="1"/>
    <col min="11" max="11" width="12.44140625" style="14" customWidth="1"/>
    <col min="12" max="12" width="11" style="14" customWidth="1"/>
    <col min="13" max="14" width="12.44140625" style="14" customWidth="1"/>
    <col min="15" max="15" width="11" style="14" customWidth="1"/>
    <col min="16" max="16" width="13.44140625" style="14" customWidth="1"/>
    <col min="17" max="17" width="13.77734375" style="14" customWidth="1"/>
    <col min="18" max="19" width="14.21875" style="14" customWidth="1" outlineLevel="1"/>
    <col min="20" max="20" width="14.21875" style="14" customWidth="1"/>
    <col min="21" max="23" width="11" style="14" customWidth="1"/>
    <col min="24" max="24" width="12.77734375" style="14" customWidth="1"/>
    <col min="25" max="25" width="14.21875" style="14" customWidth="1"/>
    <col min="26" max="26" width="16" style="14" bestFit="1" customWidth="1"/>
    <col min="27" max="27" width="3.77734375" style="14" customWidth="1"/>
    <col min="28" max="16384" width="9.21875" style="14"/>
  </cols>
  <sheetData>
    <row r="2" spans="2:20">
      <c r="B2" s="34" t="str">
        <f>Site</f>
        <v>Test Site #1</v>
      </c>
      <c r="C2" s="145"/>
    </row>
    <row r="3" spans="2:20">
      <c r="B3" s="50" t="str">
        <f>Title11</f>
        <v>Table 11: Exposure Assessment and Hazard Characterization</v>
      </c>
      <c r="C3" s="145"/>
      <c r="E3" s="19"/>
      <c r="F3" s="19"/>
      <c r="G3" s="19"/>
      <c r="H3" s="19"/>
    </row>
    <row r="4" spans="2:20">
      <c r="B4" s="15" t="s">
        <v>28</v>
      </c>
      <c r="C4" s="196" t="str">
        <f>Mam_1</f>
        <v>Eastern Cottontail</v>
      </c>
      <c r="J4" s="15"/>
      <c r="K4" s="15"/>
      <c r="L4" s="15"/>
      <c r="M4" s="15"/>
      <c r="N4" s="15"/>
      <c r="O4" s="15"/>
      <c r="P4" s="15"/>
      <c r="Q4" s="15"/>
      <c r="R4" s="15"/>
    </row>
    <row r="5" spans="2:20">
      <c r="B5" s="15"/>
      <c r="C5" s="146"/>
      <c r="J5" s="15"/>
      <c r="K5" s="15"/>
      <c r="L5" s="15"/>
      <c r="M5" s="15"/>
      <c r="N5" s="15"/>
      <c r="O5" s="15"/>
      <c r="P5" s="15"/>
      <c r="Q5" s="15"/>
      <c r="R5" s="15"/>
    </row>
    <row r="6" spans="2:20" ht="23.25" customHeight="1">
      <c r="B6" s="492" t="s">
        <v>52</v>
      </c>
      <c r="C6" s="495" t="s">
        <v>17</v>
      </c>
      <c r="D6" s="496" t="s">
        <v>369</v>
      </c>
      <c r="E6" s="490"/>
      <c r="F6" s="490" t="s">
        <v>432</v>
      </c>
      <c r="G6" s="490"/>
      <c r="H6" s="490" t="s">
        <v>370</v>
      </c>
      <c r="I6" s="490"/>
      <c r="J6" s="490" t="s">
        <v>371</v>
      </c>
      <c r="K6" s="490"/>
      <c r="L6" s="486" t="s">
        <v>374</v>
      </c>
      <c r="M6" s="486" t="s">
        <v>374</v>
      </c>
      <c r="N6" s="486" t="s">
        <v>84</v>
      </c>
      <c r="O6" s="486" t="s">
        <v>83</v>
      </c>
      <c r="P6" s="486" t="s">
        <v>380</v>
      </c>
      <c r="Q6" s="486" t="s">
        <v>381</v>
      </c>
      <c r="R6" s="486" t="s">
        <v>135</v>
      </c>
      <c r="S6" s="486" t="s">
        <v>155</v>
      </c>
      <c r="T6" s="486" t="s">
        <v>382</v>
      </c>
    </row>
    <row r="7" spans="2:20" ht="15.6">
      <c r="B7" s="493"/>
      <c r="C7" s="495"/>
      <c r="D7" s="134" t="s">
        <v>190</v>
      </c>
      <c r="E7" s="265" t="s">
        <v>449</v>
      </c>
      <c r="F7" s="134" t="s">
        <v>190</v>
      </c>
      <c r="G7" s="265" t="s">
        <v>452</v>
      </c>
      <c r="H7" s="134" t="s">
        <v>190</v>
      </c>
      <c r="I7" s="135" t="s">
        <v>157</v>
      </c>
      <c r="J7" s="134" t="s">
        <v>190</v>
      </c>
      <c r="K7" s="265" t="s">
        <v>450</v>
      </c>
      <c r="L7" s="486"/>
      <c r="M7" s="486"/>
      <c r="N7" s="486"/>
      <c r="O7" s="486"/>
      <c r="P7" s="486"/>
      <c r="Q7" s="486"/>
      <c r="R7" s="486"/>
      <c r="S7" s="486"/>
      <c r="T7" s="486"/>
    </row>
    <row r="8" spans="2:20">
      <c r="B8" s="494"/>
      <c r="C8" s="495"/>
      <c r="D8" s="136" t="s">
        <v>91</v>
      </c>
      <c r="E8" s="137" t="s">
        <v>134</v>
      </c>
      <c r="F8" s="266" t="s">
        <v>451</v>
      </c>
      <c r="G8" s="137" t="s">
        <v>134</v>
      </c>
      <c r="H8" s="136" t="s">
        <v>131</v>
      </c>
      <c r="I8" s="137" t="s">
        <v>134</v>
      </c>
      <c r="J8" s="136" t="s">
        <v>131</v>
      </c>
      <c r="K8" s="137" t="s">
        <v>134</v>
      </c>
      <c r="L8" s="137" t="s">
        <v>134</v>
      </c>
      <c r="M8" s="137" t="s">
        <v>18</v>
      </c>
      <c r="N8" s="137" t="s">
        <v>18</v>
      </c>
      <c r="O8" s="137" t="s">
        <v>18</v>
      </c>
      <c r="P8" s="137" t="s">
        <v>19</v>
      </c>
      <c r="Q8" s="138" t="s">
        <v>19</v>
      </c>
      <c r="R8" s="137" t="s">
        <v>18</v>
      </c>
      <c r="S8" s="137" t="s">
        <v>19</v>
      </c>
      <c r="T8" s="137"/>
    </row>
    <row r="9" spans="2:20">
      <c r="B9" s="82" t="s">
        <v>75</v>
      </c>
      <c r="C9" s="125"/>
      <c r="D9" s="67"/>
      <c r="E9" s="67"/>
      <c r="F9" s="67"/>
      <c r="G9" s="67"/>
      <c r="H9" s="67"/>
      <c r="I9" s="67"/>
      <c r="J9" s="67"/>
      <c r="K9" s="67"/>
      <c r="L9" s="67"/>
      <c r="M9" s="67"/>
      <c r="N9" s="67"/>
      <c r="O9" s="67"/>
      <c r="P9" s="67"/>
      <c r="Q9" s="67"/>
      <c r="R9" s="67"/>
      <c r="S9" s="67"/>
      <c r="T9" s="84"/>
    </row>
    <row r="10" spans="2:20">
      <c r="B10" s="79" t="s">
        <v>59</v>
      </c>
      <c r="C10" s="39">
        <v>1</v>
      </c>
      <c r="D10" s="94">
        <f>S_PFBA</f>
        <v>1000</v>
      </c>
      <c r="E10" s="95">
        <f t="shared" ref="E10:E20" si="0">IFERROR(D10*$C10*Mam1_fir*Mam1_AUF*Mam1_Pso/Mam1_bw,"--")</f>
        <v>4.2705410904198917</v>
      </c>
      <c r="F10" s="95">
        <f>W_PFBA</f>
        <v>10</v>
      </c>
      <c r="G10" s="95">
        <f t="shared" ref="G10:G20" si="1">IFERROR(F10*Mam1_dwi*Mam1_AUF/Mam1_bw,"--")</f>
        <v>0.9700000000000002</v>
      </c>
      <c r="H10" s="95">
        <f>VLOOKUP($B10,EPCs!$B$5:$G$28,3,FALSE)</f>
        <v>22000</v>
      </c>
      <c r="I10" s="95">
        <f t="shared" ref="I10:I20" si="2">IFERROR(H10*Mam1_FIRw*Mam1_AUF*Mam1_Pveg/Mam1_bw,"--")</f>
        <v>4972.5749586989559</v>
      </c>
      <c r="J10" s="95" t="str">
        <f>VLOOKUP($B10,EPCs!$B$5:$G$28,5,FALSE)</f>
        <v>n/a</v>
      </c>
      <c r="K10" s="95" t="str">
        <f t="shared" ref="K10:K30" si="3">IFERROR(J10*Mam1_FIRw*Mam1_AUF*Mam1_Pinv/Mam1_bw,"--")</f>
        <v>--</v>
      </c>
      <c r="L10" s="95">
        <f>SUM(E10,G10,I10,K10)</f>
        <v>4977.8154997893762</v>
      </c>
      <c r="M10" s="95">
        <f>L10/10^6</f>
        <v>4.9778154997893766E-3</v>
      </c>
      <c r="N10" s="95">
        <f>VLOOKUP($B10,TRVs_mammals!$B$5:$J$28,2,FALSE)</f>
        <v>30</v>
      </c>
      <c r="O10" s="95" t="str">
        <f>VLOOKUP($B10,TRVs_mammals!$B$5:$J$28,5,FALSE)</f>
        <v>--</v>
      </c>
      <c r="P10" s="96">
        <f>IF(OR($M10=0,ISTEXT(N10)),"--",$M10/N10)</f>
        <v>1.6592718332631256E-4</v>
      </c>
      <c r="Q10" s="96" t="str">
        <f>IF(OR($M10=0,ISTEXT(O10)),"--",$M10/O10)</f>
        <v>--</v>
      </c>
      <c r="R10" s="207" t="str">
        <f>IF(ISBLANK(VLOOKUP($B10,TRVs_mammals!$B$5:$J$28,8,FALSE)),"--",VLOOKUP($B10,TRVs_mammals!$B$5:$J$28,8,FALSE))</f>
        <v>--</v>
      </c>
      <c r="S10" s="96" t="str">
        <f>IF(OR($M10=0,ISTEXT(R10)),"--",$M10/R10)</f>
        <v>--</v>
      </c>
      <c r="T10" s="283" t="str">
        <f>IF(AND(H10="n/a",ISNUMBER($C$41),$C$41&gt;0),"PU",IF(AND(J10="n/a",ISNUMBER($C$42),$C$42&gt;0),"PU",""))</f>
        <v/>
      </c>
    </row>
    <row r="11" spans="2:20">
      <c r="B11" s="80" t="s">
        <v>60</v>
      </c>
      <c r="C11" s="39">
        <v>1</v>
      </c>
      <c r="D11" s="94">
        <f>S_PFPeA</f>
        <v>1000</v>
      </c>
      <c r="E11" s="95">
        <f t="shared" si="0"/>
        <v>4.2705410904198917</v>
      </c>
      <c r="F11" s="95">
        <f>W_PFPeA</f>
        <v>10</v>
      </c>
      <c r="G11" s="95">
        <f t="shared" si="1"/>
        <v>0.9700000000000002</v>
      </c>
      <c r="H11" s="95">
        <f>VLOOKUP($B11,EPCs!$B$5:$G$28,3,FALSE)</f>
        <v>130000</v>
      </c>
      <c r="I11" s="95">
        <f t="shared" si="2"/>
        <v>29383.397483221099</v>
      </c>
      <c r="J11" s="95">
        <f>VLOOKUP($B11,EPCs!$B$5:$G$28,5,FALSE)</f>
        <v>340</v>
      </c>
      <c r="K11" s="95">
        <f t="shared" si="3"/>
        <v>0</v>
      </c>
      <c r="L11" s="95">
        <f t="shared" ref="L11:L30" si="4">SUM(E11,G11,I11,K11)</f>
        <v>29388.63802431152</v>
      </c>
      <c r="M11" s="95">
        <f t="shared" ref="M11:M30" si="5">L11/10^6</f>
        <v>2.938863802431152E-2</v>
      </c>
      <c r="N11" s="95" t="str">
        <f>VLOOKUP($B11,TRVs_mammals!$B$5:$J$28,2,FALSE)</f>
        <v>No TRV</v>
      </c>
      <c r="O11" s="95" t="str">
        <f>VLOOKUP($B11,TRVs_mammals!$B$5:$J$28,5,FALSE)</f>
        <v>No TRV</v>
      </c>
      <c r="P11" s="96" t="str">
        <f t="shared" ref="P11:Q20" si="6">IF(OR($M11=0,ISTEXT(N11)),"--",$M11/N11)</f>
        <v>--</v>
      </c>
      <c r="Q11" s="96" t="str">
        <f t="shared" si="6"/>
        <v>--</v>
      </c>
      <c r="R11" s="207" t="str">
        <f>IF(ISBLANK(VLOOKUP($B11,TRVs_mammals!$B$5:$J$28,8,FALSE)),"--",VLOOKUP($B11,TRVs_mammals!$B$5:$J$28,8,FALSE))</f>
        <v>--</v>
      </c>
      <c r="S11" s="96" t="str">
        <f t="shared" ref="S11:S20" si="7">IF(OR($M11=0,ISTEXT(R11)),"--",$M11/R11)</f>
        <v>--</v>
      </c>
      <c r="T11" s="283" t="str">
        <f t="shared" ref="T11:T20" si="8">IF(AND(H11="n/a",ISNUMBER($C$41),$C$41&gt;0),"PU",IF(AND(J11="n/a",ISNUMBER($C$42),$C$42&gt;0),"PU",""))</f>
        <v/>
      </c>
    </row>
    <row r="12" spans="2:20">
      <c r="B12" s="80" t="s">
        <v>61</v>
      </c>
      <c r="C12" s="39">
        <v>1</v>
      </c>
      <c r="D12" s="94">
        <f>S_PFHxA</f>
        <v>2000</v>
      </c>
      <c r="E12" s="95">
        <f t="shared" si="0"/>
        <v>8.5410821808397834</v>
      </c>
      <c r="F12" s="95">
        <f>W_PFHxA</f>
        <v>10</v>
      </c>
      <c r="G12" s="95">
        <f t="shared" si="1"/>
        <v>0.9700000000000002</v>
      </c>
      <c r="H12" s="95">
        <f>VLOOKUP($B12,EPCs!$B$5:$G$28,3,FALSE)</f>
        <v>5</v>
      </c>
      <c r="I12" s="95">
        <f t="shared" si="2"/>
        <v>1.1301306724315809</v>
      </c>
      <c r="J12" s="95">
        <f>VLOOKUP($B12,EPCs!$B$5:$G$28,5,FALSE)</f>
        <v>60</v>
      </c>
      <c r="K12" s="95">
        <f t="shared" si="3"/>
        <v>0</v>
      </c>
      <c r="L12" s="95">
        <f t="shared" si="4"/>
        <v>10.641212853271366</v>
      </c>
      <c r="M12" s="95">
        <f t="shared" si="5"/>
        <v>1.0641212853271365E-5</v>
      </c>
      <c r="N12" s="95">
        <f>VLOOKUP($B12,TRVs_mammals!$B$5:$J$28,2,FALSE)</f>
        <v>30</v>
      </c>
      <c r="O12" s="95">
        <f>VLOOKUP($B12,TRVs_mammals!$B$5:$J$28,5,FALSE)</f>
        <v>200</v>
      </c>
      <c r="P12" s="96">
        <f t="shared" si="6"/>
        <v>3.5470709510904551E-7</v>
      </c>
      <c r="Q12" s="96">
        <f t="shared" si="6"/>
        <v>5.320606426635683E-8</v>
      </c>
      <c r="R12" s="207" t="str">
        <f>IF(ISBLANK(VLOOKUP($B12,TRVs_mammals!$B$5:$J$28,8,FALSE)),"--",VLOOKUP($B12,TRVs_mammals!$B$5:$J$28,8,FALSE))</f>
        <v>--</v>
      </c>
      <c r="S12" s="96" t="str">
        <f t="shared" si="7"/>
        <v>--</v>
      </c>
      <c r="T12" s="283" t="str">
        <f t="shared" si="8"/>
        <v/>
      </c>
    </row>
    <row r="13" spans="2:20">
      <c r="B13" s="80" t="s">
        <v>62</v>
      </c>
      <c r="C13" s="39">
        <v>1</v>
      </c>
      <c r="D13" s="94">
        <f>S_PFHpA</f>
        <v>2000</v>
      </c>
      <c r="E13" s="95">
        <f t="shared" si="0"/>
        <v>8.5410821808397834</v>
      </c>
      <c r="F13" s="95">
        <f>W_PFHpA</f>
        <v>30</v>
      </c>
      <c r="G13" s="95">
        <f t="shared" si="1"/>
        <v>2.91</v>
      </c>
      <c r="H13" s="95">
        <f>VLOOKUP($B13,EPCs!$B$5:$G$28,3,FALSE)</f>
        <v>18800</v>
      </c>
      <c r="I13" s="95">
        <f t="shared" si="2"/>
        <v>4249.2913283427442</v>
      </c>
      <c r="J13" s="95">
        <f>VLOOKUP($B13,EPCs!$B$5:$G$28,5,FALSE)</f>
        <v>2400</v>
      </c>
      <c r="K13" s="95">
        <f t="shared" si="3"/>
        <v>0</v>
      </c>
      <c r="L13" s="95">
        <f t="shared" si="4"/>
        <v>4260.7424105235841</v>
      </c>
      <c r="M13" s="95">
        <f t="shared" si="5"/>
        <v>4.2607424105235844E-3</v>
      </c>
      <c r="N13" s="95" t="str">
        <f>VLOOKUP($B13,TRVs_mammals!$B$5:$J$28,2,FALSE)</f>
        <v>No TRV</v>
      </c>
      <c r="O13" s="95" t="str">
        <f>VLOOKUP($B13,TRVs_mammals!$B$5:$J$28,5,FALSE)</f>
        <v>No TRV</v>
      </c>
      <c r="P13" s="96" t="str">
        <f t="shared" si="6"/>
        <v>--</v>
      </c>
      <c r="Q13" s="96" t="str">
        <f t="shared" si="6"/>
        <v>--</v>
      </c>
      <c r="R13" s="207" t="str">
        <f>IF(ISBLANK(VLOOKUP($B13,TRVs_mammals!$B$5:$J$28,8,FALSE)),"--",VLOOKUP($B13,TRVs_mammals!$B$5:$J$28,8,FALSE))</f>
        <v>--</v>
      </c>
      <c r="S13" s="96" t="str">
        <f t="shared" si="7"/>
        <v>--</v>
      </c>
      <c r="T13" s="283" t="str">
        <f t="shared" si="8"/>
        <v/>
      </c>
    </row>
    <row r="14" spans="2:20">
      <c r="B14" s="80" t="s">
        <v>38</v>
      </c>
      <c r="C14" s="39">
        <v>1</v>
      </c>
      <c r="D14" s="94">
        <f>S_PFOA</f>
        <v>3000</v>
      </c>
      <c r="E14" s="95">
        <f t="shared" si="0"/>
        <v>12.811623271259679</v>
      </c>
      <c r="F14" s="95">
        <f>W_PFOA</f>
        <v>10</v>
      </c>
      <c r="G14" s="95">
        <f t="shared" si="1"/>
        <v>0.9700000000000002</v>
      </c>
      <c r="H14" s="95">
        <f>VLOOKUP($B14,EPCs!$B$5:$G$28,3,FALSE)</f>
        <v>10</v>
      </c>
      <c r="I14" s="95">
        <f t="shared" si="2"/>
        <v>2.2602613448631619</v>
      </c>
      <c r="J14" s="95">
        <f>VLOOKUP($B14,EPCs!$B$5:$G$28,5,FALSE)</f>
        <v>1</v>
      </c>
      <c r="K14" s="95">
        <f t="shared" si="3"/>
        <v>0</v>
      </c>
      <c r="L14" s="95">
        <f t="shared" si="4"/>
        <v>16.041884616122843</v>
      </c>
      <c r="M14" s="95">
        <f t="shared" si="5"/>
        <v>1.6041884616122844E-5</v>
      </c>
      <c r="N14" s="95">
        <f>VLOOKUP($B14,TRVs_mammals!$B$5:$J$28,2,FALSE)</f>
        <v>1.3</v>
      </c>
      <c r="O14" s="95">
        <f>VLOOKUP($B14,TRVs_mammals!$B$5:$J$28,5,FALSE)</f>
        <v>14</v>
      </c>
      <c r="P14" s="96">
        <f t="shared" si="6"/>
        <v>1.2339911243171418E-5</v>
      </c>
      <c r="Q14" s="96">
        <f t="shared" si="6"/>
        <v>1.1458489011516318E-6</v>
      </c>
      <c r="R14" s="207" t="str">
        <f>IF(ISBLANK(VLOOKUP($B14,TRVs_mammals!$B$5:$J$28,8,FALSE)),"--",VLOOKUP($B14,TRVs_mammals!$B$5:$J$28,8,FALSE))</f>
        <v>--</v>
      </c>
      <c r="S14" s="96" t="str">
        <f t="shared" si="7"/>
        <v>--</v>
      </c>
      <c r="T14" s="283" t="str">
        <f t="shared" si="8"/>
        <v/>
      </c>
    </row>
    <row r="15" spans="2:20">
      <c r="B15" s="80" t="s">
        <v>63</v>
      </c>
      <c r="C15" s="39">
        <v>1</v>
      </c>
      <c r="D15" s="94">
        <f>S_PFNA</f>
        <v>3000</v>
      </c>
      <c r="E15" s="95">
        <f t="shared" si="0"/>
        <v>12.811623271259679</v>
      </c>
      <c r="F15" s="95">
        <f>W_PFNA</f>
        <v>10</v>
      </c>
      <c r="G15" s="95">
        <f t="shared" si="1"/>
        <v>0.9700000000000002</v>
      </c>
      <c r="H15" s="95">
        <f>VLOOKUP($B15,EPCs!$B$5:$G$28,3,FALSE)</f>
        <v>3600</v>
      </c>
      <c r="I15" s="95">
        <f t="shared" si="2"/>
        <v>813.69408415073826</v>
      </c>
      <c r="J15" s="95">
        <f>VLOOKUP($B15,EPCs!$B$5:$G$28,5,FALSE)</f>
        <v>27300</v>
      </c>
      <c r="K15" s="95">
        <f t="shared" si="3"/>
        <v>0</v>
      </c>
      <c r="L15" s="95">
        <f t="shared" si="4"/>
        <v>827.47570742199798</v>
      </c>
      <c r="M15" s="95">
        <f t="shared" si="5"/>
        <v>8.2747570742199798E-4</v>
      </c>
      <c r="N15" s="95">
        <f>VLOOKUP($B15,TRVs_mammals!$B$5:$J$28,2,FALSE)</f>
        <v>0.83</v>
      </c>
      <c r="O15" s="95">
        <f>VLOOKUP($B15,TRVs_mammals!$B$5:$J$28,5,FALSE)</f>
        <v>1.1000000000000001</v>
      </c>
      <c r="P15" s="96">
        <f t="shared" si="6"/>
        <v>9.9695868364096138E-4</v>
      </c>
      <c r="Q15" s="96">
        <f t="shared" si="6"/>
        <v>7.5225064311090718E-4</v>
      </c>
      <c r="R15" s="207" t="str">
        <f>IF(ISBLANK(VLOOKUP($B15,TRVs_mammals!$B$5:$J$28,8,FALSE)),"--",VLOOKUP($B15,TRVs_mammals!$B$5:$J$28,8,FALSE))</f>
        <v>--</v>
      </c>
      <c r="S15" s="96" t="str">
        <f t="shared" si="7"/>
        <v>--</v>
      </c>
      <c r="T15" s="283" t="str">
        <f t="shared" si="8"/>
        <v/>
      </c>
    </row>
    <row r="16" spans="2:20">
      <c r="B16" s="80" t="s">
        <v>64</v>
      </c>
      <c r="C16" s="39">
        <v>1</v>
      </c>
      <c r="D16" s="94">
        <f>S_PFDA</f>
        <v>4000</v>
      </c>
      <c r="E16" s="95">
        <f t="shared" si="0"/>
        <v>17.082164361679567</v>
      </c>
      <c r="F16" s="95">
        <f>W_PFDA</f>
        <v>10</v>
      </c>
      <c r="G16" s="95">
        <f t="shared" si="1"/>
        <v>0.9700000000000002</v>
      </c>
      <c r="H16" s="95">
        <f>VLOOKUP($B16,EPCs!$B$5:$G$28,3,FALSE)</f>
        <v>3360</v>
      </c>
      <c r="I16" s="95">
        <f t="shared" si="2"/>
        <v>759.44781187402236</v>
      </c>
      <c r="J16" s="95">
        <f>VLOOKUP($B16,EPCs!$B$5:$G$28,5,FALSE)</f>
        <v>104000</v>
      </c>
      <c r="K16" s="95">
        <f t="shared" si="3"/>
        <v>0</v>
      </c>
      <c r="L16" s="95">
        <f t="shared" si="4"/>
        <v>777.49997623570198</v>
      </c>
      <c r="M16" s="95">
        <f t="shared" si="5"/>
        <v>7.7749997623570194E-4</v>
      </c>
      <c r="N16" s="95">
        <f>VLOOKUP($B16,TRVs_mammals!$B$5:$J$28,2,FALSE)</f>
        <v>0.3</v>
      </c>
      <c r="O16" s="95">
        <f>VLOOKUP($B16,TRVs_mammals!$B$5:$J$28,5,FALSE)</f>
        <v>1</v>
      </c>
      <c r="P16" s="96">
        <f t="shared" si="6"/>
        <v>2.5916665874523401E-3</v>
      </c>
      <c r="Q16" s="96">
        <f t="shared" si="6"/>
        <v>7.7749997623570194E-4</v>
      </c>
      <c r="R16" s="207">
        <f>IF(ISBLANK(VLOOKUP($B16,TRVs_mammals!$B$5:$J$28,8,FALSE)),"--",VLOOKUP($B16,TRVs_mammals!$B$5:$J$28,8,FALSE))</f>
        <v>6.4</v>
      </c>
      <c r="S16" s="96">
        <f t="shared" si="7"/>
        <v>1.2148437128682842E-4</v>
      </c>
      <c r="T16" s="283" t="str">
        <f t="shared" si="8"/>
        <v/>
      </c>
    </row>
    <row r="17" spans="2:26">
      <c r="B17" s="80" t="s">
        <v>65</v>
      </c>
      <c r="C17" s="39">
        <v>1</v>
      </c>
      <c r="D17" s="94">
        <f>S_PFUnDA</f>
        <v>4000</v>
      </c>
      <c r="E17" s="95">
        <f t="shared" si="0"/>
        <v>17.082164361679567</v>
      </c>
      <c r="F17" s="95">
        <f>W_PFUnDA</f>
        <v>10</v>
      </c>
      <c r="G17" s="95">
        <f t="shared" si="1"/>
        <v>0.9700000000000002</v>
      </c>
      <c r="H17" s="95">
        <f>VLOOKUP($B17,EPCs!$B$5:$G$28,3,FALSE)</f>
        <v>3040</v>
      </c>
      <c r="I17" s="95">
        <f t="shared" si="2"/>
        <v>687.11944883840113</v>
      </c>
      <c r="J17" s="95">
        <f>VLOOKUP($B17,EPCs!$B$5:$G$28,5,FALSE)</f>
        <v>156000</v>
      </c>
      <c r="K17" s="95">
        <f t="shared" si="3"/>
        <v>0</v>
      </c>
      <c r="L17" s="95">
        <f t="shared" si="4"/>
        <v>705.17161320008074</v>
      </c>
      <c r="M17" s="95">
        <f t="shared" si="5"/>
        <v>7.0517161320008076E-4</v>
      </c>
      <c r="N17" s="95">
        <f>VLOOKUP($B17,TRVs_mammals!$B$5:$J$28,2,FALSE)</f>
        <v>0.3</v>
      </c>
      <c r="O17" s="95">
        <f>VLOOKUP($B17,TRVs_mammals!$B$5:$J$28,5,FALSE)</f>
        <v>1</v>
      </c>
      <c r="P17" s="96">
        <f t="shared" si="6"/>
        <v>2.3505720440002691E-3</v>
      </c>
      <c r="Q17" s="96">
        <f t="shared" si="6"/>
        <v>7.0517161320008076E-4</v>
      </c>
      <c r="R17" s="207" t="str">
        <f>IF(ISBLANK(VLOOKUP($B17,TRVs_mammals!$B$5:$J$28,8,FALSE)),"--",VLOOKUP($B17,TRVs_mammals!$B$5:$J$28,8,FALSE))</f>
        <v>--</v>
      </c>
      <c r="S17" s="96" t="str">
        <f t="shared" si="7"/>
        <v>--</v>
      </c>
      <c r="T17" s="283" t="str">
        <f t="shared" si="8"/>
        <v/>
      </c>
    </row>
    <row r="18" spans="2:26">
      <c r="B18" s="80" t="s">
        <v>66</v>
      </c>
      <c r="C18" s="39">
        <v>1</v>
      </c>
      <c r="D18" s="94">
        <f>S_PFDoDA</f>
        <v>5000</v>
      </c>
      <c r="E18" s="95">
        <f t="shared" si="0"/>
        <v>21.35270545209946</v>
      </c>
      <c r="F18" s="95">
        <f>W_PFDoDA</f>
        <v>10</v>
      </c>
      <c r="G18" s="95">
        <f t="shared" si="1"/>
        <v>0.9700000000000002</v>
      </c>
      <c r="H18" s="95">
        <f>VLOOKUP($B18,EPCs!$B$5:$G$28,3,FALSE)</f>
        <v>3350</v>
      </c>
      <c r="I18" s="95">
        <f t="shared" si="2"/>
        <v>757.18755052915913</v>
      </c>
      <c r="J18" s="95">
        <f>VLOOKUP($B18,EPCs!$B$5:$G$28,5,FALSE)</f>
        <v>305000</v>
      </c>
      <c r="K18" s="95">
        <f t="shared" si="3"/>
        <v>0</v>
      </c>
      <c r="L18" s="95">
        <f t="shared" si="4"/>
        <v>779.51025598125864</v>
      </c>
      <c r="M18" s="95">
        <f t="shared" si="5"/>
        <v>7.7951025598125862E-4</v>
      </c>
      <c r="N18" s="95">
        <f>VLOOKUP($B18,TRVs_mammals!$B$5:$J$28,2,FALSE)</f>
        <v>0.5</v>
      </c>
      <c r="O18" s="95">
        <f>VLOOKUP($B18,TRVs_mammals!$B$5:$J$28,5,FALSE)</f>
        <v>2.5</v>
      </c>
      <c r="P18" s="96">
        <f t="shared" si="6"/>
        <v>1.5590205119625172E-3</v>
      </c>
      <c r="Q18" s="96">
        <f t="shared" si="6"/>
        <v>3.1180410239250344E-4</v>
      </c>
      <c r="R18" s="207" t="str">
        <f>IF(ISBLANK(VLOOKUP($B18,TRVs_mammals!$B$5:$J$28,8,FALSE)),"--",VLOOKUP($B18,TRVs_mammals!$B$5:$J$28,8,FALSE))</f>
        <v>--</v>
      </c>
      <c r="S18" s="96" t="str">
        <f t="shared" si="7"/>
        <v>--</v>
      </c>
      <c r="T18" s="283" t="str">
        <f t="shared" si="8"/>
        <v/>
      </c>
    </row>
    <row r="19" spans="2:26">
      <c r="B19" s="80" t="s">
        <v>67</v>
      </c>
      <c r="C19" s="39">
        <v>1</v>
      </c>
      <c r="D19" s="94">
        <f>S_PFTrDA</f>
        <v>5000</v>
      </c>
      <c r="E19" s="95">
        <f t="shared" si="0"/>
        <v>21.35270545209946</v>
      </c>
      <c r="F19" s="95">
        <f>W_PFTrDA</f>
        <v>10</v>
      </c>
      <c r="G19" s="95">
        <f t="shared" si="1"/>
        <v>0.9700000000000002</v>
      </c>
      <c r="H19" s="95" t="str">
        <f>VLOOKUP($B19,EPCs!$B$5:$G$28,3,FALSE)</f>
        <v>n/a</v>
      </c>
      <c r="I19" s="95" t="str">
        <f t="shared" si="2"/>
        <v>--</v>
      </c>
      <c r="J19" s="95" t="str">
        <f>VLOOKUP($B19,EPCs!$B$5:$G$28,5,FALSE)</f>
        <v>n/a</v>
      </c>
      <c r="K19" s="95" t="str">
        <f t="shared" si="3"/>
        <v>--</v>
      </c>
      <c r="L19" s="95">
        <f t="shared" si="4"/>
        <v>22.322705452099459</v>
      </c>
      <c r="M19" s="95">
        <f t="shared" si="5"/>
        <v>2.2322705452099461E-5</v>
      </c>
      <c r="N19" s="95" t="str">
        <f>VLOOKUP($B19,TRVs_mammals!$B$5:$J$28,2,FALSE)</f>
        <v>No TRV</v>
      </c>
      <c r="O19" s="95" t="str">
        <f>VLOOKUP($B19,TRVs_mammals!$B$5:$J$28,5,FALSE)</f>
        <v>No TRV</v>
      </c>
      <c r="P19" s="96" t="str">
        <f t="shared" si="6"/>
        <v>--</v>
      </c>
      <c r="Q19" s="96" t="str">
        <f t="shared" si="6"/>
        <v>--</v>
      </c>
      <c r="R19" s="207" t="str">
        <f>IF(ISBLANK(VLOOKUP($B19,TRVs_mammals!$B$5:$J$28,8,FALSE)),"--",VLOOKUP($B19,TRVs_mammals!$B$5:$J$28,8,FALSE))</f>
        <v>--</v>
      </c>
      <c r="S19" s="96" t="str">
        <f t="shared" si="7"/>
        <v>--</v>
      </c>
      <c r="T19" s="283" t="str">
        <f t="shared" si="8"/>
        <v>PU</v>
      </c>
    </row>
    <row r="20" spans="2:26">
      <c r="B20" s="80" t="s">
        <v>68</v>
      </c>
      <c r="C20" s="39">
        <v>1</v>
      </c>
      <c r="D20" s="94">
        <f>S_PFTeDA</f>
        <v>6000</v>
      </c>
      <c r="E20" s="95">
        <f t="shared" si="0"/>
        <v>25.623246542519357</v>
      </c>
      <c r="F20" s="95">
        <f>W_PFTeDA</f>
        <v>10</v>
      </c>
      <c r="G20" s="95">
        <f t="shared" si="1"/>
        <v>0.9700000000000002</v>
      </c>
      <c r="H20" s="95">
        <f>VLOOKUP($B20,EPCs!$B$5:$G$28,3,FALSE)</f>
        <v>10</v>
      </c>
      <c r="I20" s="95">
        <f t="shared" si="2"/>
        <v>2.2602613448631619</v>
      </c>
      <c r="J20" s="95">
        <f>VLOOKUP($B20,EPCs!$B$5:$G$28,5,FALSE)</f>
        <v>25</v>
      </c>
      <c r="K20" s="95">
        <f t="shared" si="3"/>
        <v>0</v>
      </c>
      <c r="L20" s="95">
        <f t="shared" si="4"/>
        <v>28.85350788738252</v>
      </c>
      <c r="M20" s="95">
        <f t="shared" si="5"/>
        <v>2.885350788738252E-5</v>
      </c>
      <c r="N20" s="95">
        <f>VLOOKUP($B20,TRVs_mammals!$B$5:$J$28,2,FALSE)</f>
        <v>3</v>
      </c>
      <c r="O20" s="95">
        <f>VLOOKUP($B20,TRVs_mammals!$B$5:$J$28,5,FALSE)</f>
        <v>10</v>
      </c>
      <c r="P20" s="96">
        <f t="shared" si="6"/>
        <v>9.6178359624608396E-6</v>
      </c>
      <c r="Q20" s="96">
        <f t="shared" si="6"/>
        <v>2.885350788738252E-6</v>
      </c>
      <c r="R20" s="207" t="str">
        <f>IF(ISBLANK(VLOOKUP($B20,TRVs_mammals!$B$5:$J$28,8,FALSE)),"--",VLOOKUP($B20,TRVs_mammals!$B$5:$J$28,8,FALSE))</f>
        <v>--</v>
      </c>
      <c r="S20" s="96" t="str">
        <f t="shared" si="7"/>
        <v>--</v>
      </c>
      <c r="T20" s="283" t="str">
        <f t="shared" si="8"/>
        <v/>
      </c>
    </row>
    <row r="21" spans="2:26">
      <c r="B21" s="202" t="s">
        <v>76</v>
      </c>
      <c r="C21" s="125"/>
      <c r="D21" s="67"/>
      <c r="E21" s="67"/>
      <c r="F21" s="67"/>
      <c r="G21" s="67"/>
      <c r="H21" s="67"/>
      <c r="I21" s="67"/>
      <c r="J21" s="67"/>
      <c r="K21" s="67"/>
      <c r="L21" s="67"/>
      <c r="M21" s="67"/>
      <c r="N21" s="67"/>
      <c r="O21" s="67"/>
      <c r="P21" s="67"/>
      <c r="Q21" s="67"/>
      <c r="R21" s="67"/>
      <c r="S21" s="67"/>
      <c r="T21" s="396"/>
    </row>
    <row r="22" spans="2:26">
      <c r="B22" s="80" t="s">
        <v>69</v>
      </c>
      <c r="C22" s="39">
        <v>1</v>
      </c>
      <c r="D22" s="94">
        <f>S_PFBS</f>
        <v>1000</v>
      </c>
      <c r="E22" s="95">
        <f>IFERROR(D22*$C22*Mam1_fir*Mam1_AUF*Mam1_Pso/Mam1_bw,"--")</f>
        <v>4.2705410904198917</v>
      </c>
      <c r="F22" s="95">
        <f>W_PFBS</f>
        <v>10</v>
      </c>
      <c r="G22" s="95">
        <f>IFERROR(F22*Mam1_dwi*Mam1_AUF/Mam1_bw,"--")</f>
        <v>0.9700000000000002</v>
      </c>
      <c r="H22" s="95">
        <f>VLOOKUP($B22,EPCs!$B$5:$G$28,3,FALSE)</f>
        <v>40000</v>
      </c>
      <c r="I22" s="95">
        <f>IFERROR(H22*Mam1_FIRw*Mam1_AUF*Mam1_Pveg/Mam1_bw,"--")</f>
        <v>9041.0453794526456</v>
      </c>
      <c r="J22" s="95">
        <f>VLOOKUP($B22,EPCs!$B$5:$G$28,5,FALSE)</f>
        <v>5</v>
      </c>
      <c r="K22" s="95">
        <f t="shared" si="3"/>
        <v>0</v>
      </c>
      <c r="L22" s="95">
        <f t="shared" si="4"/>
        <v>9046.285920543065</v>
      </c>
      <c r="M22" s="95">
        <f t="shared" si="5"/>
        <v>9.0462859205430648E-3</v>
      </c>
      <c r="N22" s="95">
        <f>VLOOKUP($B22,TRVs_mammals!$B$5:$J$28,2,FALSE)</f>
        <v>300</v>
      </c>
      <c r="O22" s="95">
        <f>VLOOKUP($B22,TRVs_mammals!$B$5:$J$28,5,FALSE)</f>
        <v>1000</v>
      </c>
      <c r="P22" s="96">
        <f t="shared" ref="P22:Q25" si="9">IF(OR($M22=0,ISTEXT(N22)),"--",$M22/N22)</f>
        <v>3.0154286401810216E-5</v>
      </c>
      <c r="Q22" s="96">
        <f t="shared" si="9"/>
        <v>9.0462859205430649E-6</v>
      </c>
      <c r="R22" s="207" t="str">
        <f>IF(ISBLANK(VLOOKUP($B22,TRVs_mammals!$B$5:$J$28,8,FALSE)),"--",VLOOKUP($B22,TRVs_mammals!$B$5:$J$28,8,FALSE))</f>
        <v>--</v>
      </c>
      <c r="S22" s="96" t="str">
        <f t="shared" ref="S22:S25" si="10">IF(OR($M22=0,ISTEXT(R22)),"--",$M22/R22)</f>
        <v>--</v>
      </c>
      <c r="T22" s="283" t="str">
        <f t="shared" ref="T22:T25" si="11">IF(AND(H22="n/a",ISNUMBER($C$41),$C$41&gt;0),"PU",IF(AND(J22="n/a",ISNUMBER($C$42),$C$42&gt;0),"PU",""))</f>
        <v/>
      </c>
    </row>
    <row r="23" spans="2:26">
      <c r="B23" s="80" t="s">
        <v>70</v>
      </c>
      <c r="C23" s="39">
        <v>1</v>
      </c>
      <c r="D23" s="94">
        <f>S_PFHxS</f>
        <v>2000</v>
      </c>
      <c r="E23" s="95">
        <f>IFERROR(D23*$C23*Mam1_fir*Mam1_AUF*Mam1_Pso/Mam1_bw,"--")</f>
        <v>8.5410821808397834</v>
      </c>
      <c r="F23" s="95">
        <f>W_PFHxS</f>
        <v>10</v>
      </c>
      <c r="G23" s="95">
        <f>IFERROR(F23*Mam1_dwi*Mam1_AUF/Mam1_bw,"--")</f>
        <v>0.9700000000000002</v>
      </c>
      <c r="H23" s="95">
        <f>VLOOKUP($B23,EPCs!$B$5:$G$28,3,FALSE)</f>
        <v>10</v>
      </c>
      <c r="I23" s="95">
        <f>IFERROR(H23*Mam1_FIRw*Mam1_AUF*Mam1_Pveg/Mam1_bw,"--")</f>
        <v>2.2602613448631619</v>
      </c>
      <c r="J23" s="95">
        <f>VLOOKUP($B23,EPCs!$B$5:$G$28,5,FALSE)</f>
        <v>68000</v>
      </c>
      <c r="K23" s="95">
        <f t="shared" si="3"/>
        <v>0</v>
      </c>
      <c r="L23" s="95">
        <f t="shared" si="4"/>
        <v>11.771343525702946</v>
      </c>
      <c r="M23" s="95">
        <f t="shared" si="5"/>
        <v>1.1771343525702946E-5</v>
      </c>
      <c r="N23" s="95">
        <f>VLOOKUP($B23,TRVs_mammals!$B$5:$J$28,2,FALSE)</f>
        <v>0.3</v>
      </c>
      <c r="O23" s="95">
        <f>VLOOKUP($B23,TRVs_mammals!$B$5:$J$28,5,FALSE)</f>
        <v>1</v>
      </c>
      <c r="P23" s="96">
        <f t="shared" si="9"/>
        <v>3.9237811752343157E-5</v>
      </c>
      <c r="Q23" s="96">
        <f t="shared" si="9"/>
        <v>1.1771343525702946E-5</v>
      </c>
      <c r="R23" s="207">
        <f>IF(ISBLANK(VLOOKUP($B23,TRVs_mammals!$B$5:$J$28,8,FALSE)),"--",VLOOKUP($B23,TRVs_mammals!$B$5:$J$28,8,FALSE))</f>
        <v>10</v>
      </c>
      <c r="S23" s="96">
        <f t="shared" si="10"/>
        <v>1.1771343525702946E-6</v>
      </c>
      <c r="T23" s="283" t="str">
        <f t="shared" si="11"/>
        <v/>
      </c>
    </row>
    <row r="24" spans="2:26">
      <c r="B24" s="80" t="s">
        <v>37</v>
      </c>
      <c r="C24" s="39">
        <v>1</v>
      </c>
      <c r="D24" s="94">
        <f>S_PFOS</f>
        <v>3000</v>
      </c>
      <c r="E24" s="95">
        <f>IFERROR(D24*$C24*Mam1_fir*Mam1_AUF*Mam1_Pso/Mam1_bw,"--")</f>
        <v>12.811623271259679</v>
      </c>
      <c r="F24" s="95">
        <f>W_PFOS</f>
        <v>10</v>
      </c>
      <c r="G24" s="95">
        <f>IFERROR(F24*Mam1_dwi*Mam1_AUF/Mam1_bw,"--")</f>
        <v>0.9700000000000002</v>
      </c>
      <c r="H24" s="95">
        <f>VLOOKUP($B24,EPCs!$B$5:$G$28,3,FALSE)</f>
        <v>13800</v>
      </c>
      <c r="I24" s="95">
        <f>IFERROR(H24*Mam1_FIRw*Mam1_AUF*Mam1_Pveg/Mam1_bw,"--")</f>
        <v>3119.1606559111633</v>
      </c>
      <c r="J24" s="95">
        <f>VLOOKUP($B24,EPCs!$B$5:$G$28,5,FALSE)</f>
        <v>8</v>
      </c>
      <c r="K24" s="95">
        <f t="shared" si="3"/>
        <v>0</v>
      </c>
      <c r="L24" s="95">
        <f t="shared" si="4"/>
        <v>3132.9422791824231</v>
      </c>
      <c r="M24" s="95">
        <f t="shared" si="5"/>
        <v>3.1329422791824229E-3</v>
      </c>
      <c r="N24" s="95">
        <f>VLOOKUP($B24,TRVs_mammals!$B$5:$J$28,2,FALSE)</f>
        <v>0.1</v>
      </c>
      <c r="O24" s="95">
        <f>VLOOKUP($B24,TRVs_mammals!$B$5:$J$28,5,FALSE)</f>
        <v>0.4</v>
      </c>
      <c r="P24" s="96">
        <f t="shared" si="9"/>
        <v>3.1329422791824227E-2</v>
      </c>
      <c r="Q24" s="96">
        <f t="shared" si="9"/>
        <v>7.8323556979560567E-3</v>
      </c>
      <c r="R24" s="207">
        <f>IF(ISBLANK(VLOOKUP($B24,TRVs_mammals!$B$5:$J$28,8,FALSE)),"--",VLOOKUP($B24,TRVs_mammals!$B$5:$J$28,8,FALSE))</f>
        <v>1.6</v>
      </c>
      <c r="S24" s="96">
        <f t="shared" si="10"/>
        <v>1.9580889244890142E-3</v>
      </c>
      <c r="T24" s="283" t="str">
        <f t="shared" si="11"/>
        <v/>
      </c>
    </row>
    <row r="25" spans="2:26">
      <c r="B25" s="80" t="s">
        <v>71</v>
      </c>
      <c r="C25" s="39">
        <v>1</v>
      </c>
      <c r="D25" s="94">
        <f>S_PFDS</f>
        <v>1000</v>
      </c>
      <c r="E25" s="95">
        <f>IFERROR(D25*$C25*Mam1_fir*Mam1_AUF*Mam1_Pso/Mam1_bw,"--")</f>
        <v>4.2705410904198917</v>
      </c>
      <c r="F25" s="95">
        <f>W_PFDS</f>
        <v>10</v>
      </c>
      <c r="G25" s="95">
        <f>IFERROR(F25*Mam1_dwi*Mam1_AUF/Mam1_bw,"--")</f>
        <v>0.9700000000000002</v>
      </c>
      <c r="H25" s="95">
        <f>VLOOKUP($B25,EPCs!$B$5:$G$28,3,FALSE)</f>
        <v>180</v>
      </c>
      <c r="I25" s="95">
        <f>IFERROR(H25*Mam1_FIRw*Mam1_AUF*Mam1_Pveg/Mam1_bw,"--")</f>
        <v>40.68470420753691</v>
      </c>
      <c r="J25" s="95">
        <f>VLOOKUP($B25,EPCs!$B$5:$G$28,5,FALSE)</f>
        <v>1700.0000000000002</v>
      </c>
      <c r="K25" s="95">
        <f t="shared" si="3"/>
        <v>0</v>
      </c>
      <c r="L25" s="95">
        <f t="shared" si="4"/>
        <v>45.925245297956806</v>
      </c>
      <c r="M25" s="95">
        <f t="shared" si="5"/>
        <v>4.5925245297956804E-5</v>
      </c>
      <c r="N25" s="95" t="str">
        <f>VLOOKUP($B25,TRVs_mammals!$B$5:$J$28,2,FALSE)</f>
        <v>No TRV</v>
      </c>
      <c r="O25" s="95" t="str">
        <f>VLOOKUP($B25,TRVs_mammals!$B$5:$J$28,5,FALSE)</f>
        <v>No TRV</v>
      </c>
      <c r="P25" s="96" t="str">
        <f t="shared" si="9"/>
        <v>--</v>
      </c>
      <c r="Q25" s="96" t="str">
        <f t="shared" si="9"/>
        <v>--</v>
      </c>
      <c r="R25" s="207" t="str">
        <f>IF(ISBLANK(VLOOKUP($B25,TRVs_mammals!$B$5:$J$28,8,FALSE)),"--",VLOOKUP($B25,TRVs_mammals!$B$5:$J$28,8,FALSE))</f>
        <v>--</v>
      </c>
      <c r="S25" s="96" t="str">
        <f t="shared" si="10"/>
        <v>--</v>
      </c>
      <c r="T25" s="283" t="str">
        <f t="shared" si="11"/>
        <v/>
      </c>
    </row>
    <row r="26" spans="2:26">
      <c r="B26" s="202" t="s">
        <v>77</v>
      </c>
      <c r="C26" s="125"/>
      <c r="D26" s="67"/>
      <c r="E26" s="67"/>
      <c r="F26" s="67"/>
      <c r="G26" s="67"/>
      <c r="H26" s="67"/>
      <c r="I26" s="67"/>
      <c r="J26" s="67"/>
      <c r="K26" s="67"/>
      <c r="L26" s="67"/>
      <c r="M26" s="67"/>
      <c r="N26" s="67"/>
      <c r="O26" s="67"/>
      <c r="P26" s="67"/>
      <c r="Q26" s="67"/>
      <c r="R26" s="67"/>
      <c r="S26" s="67"/>
      <c r="T26" s="396"/>
    </row>
    <row r="27" spans="2:26">
      <c r="B27" s="80" t="s">
        <v>72</v>
      </c>
      <c r="C27" s="39">
        <v>1</v>
      </c>
      <c r="D27" s="94">
        <f>S_PFOSA</f>
        <v>1000</v>
      </c>
      <c r="E27" s="95">
        <f>IFERROR(D27*$C27*Mam1_fir*Mam1_AUF*Mam1_Pso/Mam1_bw,"--")</f>
        <v>4.2705410904198917</v>
      </c>
      <c r="F27" s="95">
        <f>W_PFOSA</f>
        <v>10</v>
      </c>
      <c r="G27" s="95">
        <f>IFERROR(F27*Mam1_dwi*Mam1_AUF/Mam1_bw,"--")</f>
        <v>0.9700000000000002</v>
      </c>
      <c r="H27" s="95">
        <f>VLOOKUP($B27,EPCs!$B$5:$G$28,3,FALSE)</f>
        <v>33</v>
      </c>
      <c r="I27" s="95">
        <f>IFERROR(H27*Mam1_FIRw*Mam1_AUF*Mam1_Pveg/Mam1_bw,"--")</f>
        <v>7.4588624380484339</v>
      </c>
      <c r="J27" s="95" t="str">
        <f>VLOOKUP($B27,EPCs!$B$5:$G$28,5,FALSE)</f>
        <v>n/a</v>
      </c>
      <c r="K27" s="95" t="str">
        <f t="shared" si="3"/>
        <v>--</v>
      </c>
      <c r="L27" s="95">
        <f t="shared" si="4"/>
        <v>12.699403528468327</v>
      </c>
      <c r="M27" s="95">
        <f t="shared" si="5"/>
        <v>1.2699403528468327E-5</v>
      </c>
      <c r="N27" s="95" t="str">
        <f>VLOOKUP($B27,TRVs_mammals!$B$5:$J$28,2,FALSE)</f>
        <v>No TRV</v>
      </c>
      <c r="O27" s="95" t="str">
        <f>VLOOKUP($B27,TRVs_mammals!$B$5:$J$28,5,FALSE)</f>
        <v>No TRV</v>
      </c>
      <c r="P27" s="96" t="str">
        <f t="shared" ref="P27:Q27" si="12">IF(OR($M27=0,ISTEXT(N27)),"--",$M27/N27)</f>
        <v>--</v>
      </c>
      <c r="Q27" s="96" t="str">
        <f t="shared" si="12"/>
        <v>--</v>
      </c>
      <c r="R27" s="207" t="str">
        <f>IF(ISBLANK(VLOOKUP($B27,TRVs_mammals!$B$5:$J$28,8,FALSE)),"--",VLOOKUP($B27,TRVs_mammals!$B$5:$J$28,8,FALSE))</f>
        <v>--</v>
      </c>
      <c r="S27" s="96" t="str">
        <f>IF(OR($M27=0,ISTEXT(R27)),"--",$M27/R27)</f>
        <v>--</v>
      </c>
      <c r="T27" s="283" t="str">
        <f>IF(AND(H27="n/a",ISNUMBER($C$41),$C$41&gt;0),"PU",IF(AND(J27="n/a",ISNUMBER($C$42),$C$42&gt;0),"PU",""))</f>
        <v/>
      </c>
    </row>
    <row r="28" spans="2:26">
      <c r="B28" s="202" t="s">
        <v>78</v>
      </c>
      <c r="C28" s="125"/>
      <c r="D28" s="67"/>
      <c r="E28" s="67"/>
      <c r="F28" s="67"/>
      <c r="G28" s="67"/>
      <c r="H28" s="67"/>
      <c r="I28" s="67"/>
      <c r="J28" s="67"/>
      <c r="K28" s="67"/>
      <c r="L28" s="67"/>
      <c r="M28" s="67"/>
      <c r="N28" s="67"/>
      <c r="O28" s="67"/>
      <c r="P28" s="67"/>
      <c r="Q28" s="67"/>
      <c r="R28" s="67"/>
      <c r="S28" s="67"/>
      <c r="T28" s="84"/>
    </row>
    <row r="29" spans="2:26">
      <c r="B29" s="80" t="s">
        <v>73</v>
      </c>
      <c r="C29" s="39">
        <v>1</v>
      </c>
      <c r="D29" s="94">
        <f>S_NEtFOSAA</f>
        <v>1000</v>
      </c>
      <c r="E29" s="95">
        <f>IFERROR(D29*$C29*Mam1_fir*Mam1_AUF*Mam1_Pso/Mam1_bw,"--")</f>
        <v>4.2705410904198917</v>
      </c>
      <c r="F29" s="95">
        <f>W_NEtFOSAA</f>
        <v>10</v>
      </c>
      <c r="G29" s="95">
        <f>IFERROR(F29*Mam1_dwi*Mam1_AUF/Mam1_bw,"--")</f>
        <v>0.9700000000000002</v>
      </c>
      <c r="H29" s="95">
        <f>VLOOKUP($B29,EPCs!$B$5:$G$28,3,FALSE)</f>
        <v>10</v>
      </c>
      <c r="I29" s="95">
        <f>IFERROR(H29*Mam1_FIRw*Mam1_AUF*Mam1_Pveg/Mam1_bw,"--")</f>
        <v>2.2602613448631619</v>
      </c>
      <c r="J29" s="95">
        <f>VLOOKUP($B29,EPCs!$B$5:$G$28,5,FALSE)</f>
        <v>45</v>
      </c>
      <c r="K29" s="95">
        <f t="shared" si="3"/>
        <v>0</v>
      </c>
      <c r="L29" s="95">
        <f t="shared" si="4"/>
        <v>7.5008024352830542</v>
      </c>
      <c r="M29" s="95">
        <f t="shared" si="5"/>
        <v>7.5008024352830546E-6</v>
      </c>
      <c r="N29" s="95" t="str">
        <f>VLOOKUP($B29,TRVs_mammals!$B$5:$J$28,2,FALSE)</f>
        <v>No TRV</v>
      </c>
      <c r="O29" s="95" t="str">
        <f>VLOOKUP($B29,TRVs_mammals!$B$5:$J$28,5,FALSE)</f>
        <v>No TRV</v>
      </c>
      <c r="P29" s="96" t="str">
        <f t="shared" ref="P29:Q30" si="13">IF(OR($M29=0,ISTEXT(N29)),"--",$M29/N29)</f>
        <v>--</v>
      </c>
      <c r="Q29" s="96" t="str">
        <f t="shared" si="13"/>
        <v>--</v>
      </c>
      <c r="R29" s="207" t="str">
        <f>IF(ISBLANK(VLOOKUP($B29,TRVs_mammals!$B$5:$J$28,8,FALSE)),"--",VLOOKUP($B29,TRVs_mammals!$B$5:$J$28,8,FALSE))</f>
        <v>--</v>
      </c>
      <c r="S29" s="96" t="str">
        <f t="shared" ref="S29:S30" si="14">IF(OR($M29=0,ISTEXT(R29)),"--",$M29/R29)</f>
        <v>--</v>
      </c>
      <c r="T29" s="283" t="str">
        <f t="shared" ref="T29:T30" si="15">IF(AND(H29="n/a",ISNUMBER($C$41),$C$41&gt;0),"PU",IF(AND(J29="n/a",ISNUMBER($C$42),$C$42&gt;0),"PU",""))</f>
        <v/>
      </c>
    </row>
    <row r="30" spans="2:26">
      <c r="B30" s="81" t="s">
        <v>74</v>
      </c>
      <c r="C30" s="39">
        <v>1</v>
      </c>
      <c r="D30" s="94">
        <f>S_NMeFOSAA</f>
        <v>1000</v>
      </c>
      <c r="E30" s="95">
        <f>IFERROR(D30*$C30*Mam1_fir*Mam1_AUF*Mam1_Pso/Mam1_bw,"--")</f>
        <v>4.2705410904198917</v>
      </c>
      <c r="F30" s="95">
        <f>W_NMeFOSAA</f>
        <v>10</v>
      </c>
      <c r="G30" s="95">
        <f>IFERROR(F30*Mam1_dwi*Mam1_AUF/Mam1_bw,"--")</f>
        <v>0.9700000000000002</v>
      </c>
      <c r="H30" s="95" t="str">
        <f>VLOOKUP($B30,EPCs!$B$5:$G$28,3,FALSE)</f>
        <v>n/a</v>
      </c>
      <c r="I30" s="95" t="str">
        <f>IFERROR(H30*Mam1_FIRw*Mam1_AUF*Mam1_Pveg/Mam1_bw,"--")</f>
        <v>--</v>
      </c>
      <c r="J30" s="95" t="str">
        <f>VLOOKUP($B30,EPCs!$B$5:$G$28,5,FALSE)</f>
        <v>n/a</v>
      </c>
      <c r="K30" s="95" t="str">
        <f t="shared" si="3"/>
        <v>--</v>
      </c>
      <c r="L30" s="95">
        <f t="shared" si="4"/>
        <v>5.2405410904198924</v>
      </c>
      <c r="M30" s="95">
        <f t="shared" si="5"/>
        <v>5.2405410904198927E-6</v>
      </c>
      <c r="N30" s="95" t="str">
        <f>VLOOKUP($B30,TRVs_mammals!$B$5:$J$28,2,FALSE)</f>
        <v>No TRV</v>
      </c>
      <c r="O30" s="95" t="str">
        <f>VLOOKUP($B30,TRVs_mammals!$B$5:$J$28,5,FALSE)</f>
        <v>No TRV</v>
      </c>
      <c r="P30" s="96" t="str">
        <f t="shared" si="13"/>
        <v>--</v>
      </c>
      <c r="Q30" s="96" t="str">
        <f t="shared" si="13"/>
        <v>--</v>
      </c>
      <c r="R30" s="207" t="str">
        <f>IF(ISBLANK(VLOOKUP($B30,TRVs_mammals!$B$5:$J$28,8,FALSE)),"--",VLOOKUP($B30,TRVs_mammals!$B$5:$J$28,8,FALSE))</f>
        <v>--</v>
      </c>
      <c r="S30" s="96" t="str">
        <f t="shared" si="14"/>
        <v>--</v>
      </c>
      <c r="T30" s="283" t="str">
        <f t="shared" si="15"/>
        <v>PU</v>
      </c>
    </row>
    <row r="31" spans="2:26" ht="14.4">
      <c r="B31" s="43"/>
      <c r="C31" s="97"/>
      <c r="D31" s="97"/>
      <c r="E31" s="97"/>
      <c r="F31" s="97"/>
      <c r="G31" s="97"/>
      <c r="H31" s="98"/>
      <c r="I31" s="97"/>
      <c r="J31" s="97"/>
      <c r="K31"/>
      <c r="L31"/>
      <c r="M31"/>
      <c r="N31"/>
      <c r="O31"/>
      <c r="P31"/>
      <c r="Q31"/>
      <c r="R31"/>
      <c r="S31"/>
      <c r="T31"/>
      <c r="U31"/>
      <c r="V31"/>
      <c r="W31"/>
    </row>
    <row r="32" spans="2:26">
      <c r="B32" s="31" t="s">
        <v>1</v>
      </c>
      <c r="E32" s="99"/>
      <c r="F32" s="99"/>
      <c r="G32" s="99"/>
      <c r="I32" s="100"/>
      <c r="J32" s="101"/>
      <c r="K32" s="101"/>
      <c r="L32" s="100"/>
      <c r="M32" s="100"/>
      <c r="N32" s="100"/>
      <c r="O32" s="100"/>
      <c r="P32" s="100"/>
      <c r="Q32" s="100"/>
      <c r="R32" s="100"/>
      <c r="S32" s="100"/>
      <c r="T32" s="100"/>
      <c r="U32" s="100"/>
      <c r="V32" s="100"/>
      <c r="W32" s="100"/>
      <c r="X32" s="100"/>
      <c r="Y32" s="100"/>
      <c r="Z32" s="100"/>
    </row>
    <row r="33" spans="2:18">
      <c r="B33" s="234" t="s">
        <v>373</v>
      </c>
      <c r="E33" s="103"/>
      <c r="F33" s="103"/>
      <c r="G33" s="103"/>
      <c r="H33" s="103"/>
      <c r="I33" s="101"/>
      <c r="J33" s="19"/>
      <c r="K33" s="19"/>
      <c r="L33" s="101"/>
      <c r="M33" s="101"/>
      <c r="N33" s="101"/>
      <c r="P33" s="101"/>
      <c r="Q33" s="101"/>
      <c r="R33" s="101"/>
    </row>
    <row r="34" spans="2:18">
      <c r="B34" s="234"/>
      <c r="E34" s="103"/>
      <c r="F34" s="103"/>
      <c r="G34" s="103"/>
      <c r="H34" s="103"/>
      <c r="I34" s="101"/>
      <c r="J34" s="19"/>
      <c r="K34" s="19"/>
      <c r="L34" s="101"/>
      <c r="M34" s="101"/>
      <c r="N34" s="101"/>
      <c r="P34" s="101"/>
      <c r="Q34" s="101"/>
      <c r="R34" s="101"/>
    </row>
    <row r="35" spans="2:18" s="292" customFormat="1" ht="15.6">
      <c r="B35" s="289" t="s">
        <v>376</v>
      </c>
      <c r="C35" s="290"/>
      <c r="D35" s="290"/>
      <c r="E35" s="290"/>
      <c r="F35" s="290"/>
      <c r="G35" s="290"/>
      <c r="H35" s="290"/>
      <c r="I35" s="290"/>
      <c r="J35" s="290"/>
      <c r="K35" s="290"/>
      <c r="L35" s="291"/>
      <c r="M35" s="291"/>
      <c r="N35" s="291"/>
      <c r="P35" s="291"/>
      <c r="Q35" s="291"/>
      <c r="R35" s="291"/>
    </row>
    <row r="36" spans="2:18">
      <c r="B36" s="236"/>
      <c r="C36" s="105"/>
      <c r="D36" s="222"/>
      <c r="E36" s="105"/>
      <c r="F36" s="105"/>
      <c r="G36" s="105"/>
      <c r="H36" s="105"/>
      <c r="I36" s="105"/>
      <c r="J36" s="103"/>
      <c r="K36" s="103"/>
      <c r="L36" s="101"/>
      <c r="M36" s="101"/>
      <c r="N36" s="101"/>
      <c r="P36" s="101"/>
      <c r="Q36" s="101"/>
      <c r="R36" s="101"/>
    </row>
    <row r="37" spans="2:18">
      <c r="B37" s="405" t="s">
        <v>191</v>
      </c>
      <c r="C37" s="295" t="s">
        <v>53</v>
      </c>
      <c r="D37" s="294" t="s">
        <v>2</v>
      </c>
      <c r="E37" s="296" t="s">
        <v>51</v>
      </c>
      <c r="H37" s="141"/>
      <c r="I37" s="141"/>
      <c r="J37" s="103"/>
      <c r="K37" s="103"/>
      <c r="L37" s="103"/>
      <c r="M37" s="103"/>
    </row>
    <row r="38" spans="2:18" ht="15.6">
      <c r="B38" s="406" t="s">
        <v>159</v>
      </c>
      <c r="C38" s="491" t="s">
        <v>136</v>
      </c>
      <c r="D38" s="105" t="s">
        <v>18</v>
      </c>
      <c r="E38" s="101" t="s">
        <v>160</v>
      </c>
      <c r="H38" s="142"/>
      <c r="I38" s="141"/>
      <c r="J38" s="103"/>
      <c r="L38" s="103"/>
    </row>
    <row r="39" spans="2:18" ht="15.6">
      <c r="B39" s="407" t="s">
        <v>161</v>
      </c>
      <c r="C39" s="491"/>
      <c r="D39" s="139" t="s">
        <v>192</v>
      </c>
      <c r="E39" s="101" t="s">
        <v>42</v>
      </c>
      <c r="H39" s="142"/>
      <c r="I39" s="141"/>
      <c r="J39" s="103"/>
      <c r="L39" s="103"/>
    </row>
    <row r="40" spans="2:18">
      <c r="B40" s="406" t="s">
        <v>17</v>
      </c>
      <c r="C40" s="491"/>
      <c r="D40" s="105" t="s">
        <v>19</v>
      </c>
      <c r="E40" s="234" t="s">
        <v>375</v>
      </c>
      <c r="H40" s="142"/>
      <c r="I40" s="141"/>
      <c r="J40" s="103"/>
      <c r="L40" s="103"/>
    </row>
    <row r="41" spans="2:18" ht="15.6">
      <c r="B41" s="407" t="s">
        <v>92</v>
      </c>
      <c r="C41" s="281">
        <f>Mam1_Pveg</f>
        <v>1</v>
      </c>
      <c r="D41" s="105" t="s">
        <v>15</v>
      </c>
      <c r="E41" s="101" t="s">
        <v>20</v>
      </c>
      <c r="H41" s="142"/>
      <c r="I41" s="141"/>
      <c r="J41" s="103"/>
      <c r="L41" s="103"/>
    </row>
    <row r="42" spans="2:18" ht="15.6">
      <c r="B42" s="408" t="s">
        <v>308</v>
      </c>
      <c r="C42" s="281">
        <f>Mam1_Pinv</f>
        <v>0</v>
      </c>
      <c r="D42" s="105" t="s">
        <v>15</v>
      </c>
      <c r="E42" s="238" t="s">
        <v>469</v>
      </c>
      <c r="H42" s="142"/>
      <c r="I42" s="141"/>
      <c r="J42" s="103"/>
      <c r="L42" s="103"/>
    </row>
    <row r="43" spans="2:18" ht="15.6">
      <c r="B43" s="407" t="s">
        <v>93</v>
      </c>
      <c r="C43" s="281">
        <f>Mam1_Pso</f>
        <v>6.3E-2</v>
      </c>
      <c r="D43" s="105" t="s">
        <v>15</v>
      </c>
      <c r="E43" s="238" t="s">
        <v>384</v>
      </c>
      <c r="H43" s="142"/>
      <c r="I43" s="140"/>
      <c r="J43" s="103"/>
      <c r="L43" s="103"/>
    </row>
    <row r="44" spans="2:18" ht="15.6">
      <c r="B44" s="407" t="s">
        <v>133</v>
      </c>
      <c r="C44" s="144">
        <f>Mam1_fir</f>
        <v>7.6598594161499653E-2</v>
      </c>
      <c r="D44" s="105" t="s">
        <v>21</v>
      </c>
      <c r="E44" s="360" t="s">
        <v>525</v>
      </c>
      <c r="F44" s="24"/>
      <c r="G44" s="24"/>
      <c r="H44" s="140"/>
      <c r="I44" s="140"/>
      <c r="J44" s="103"/>
      <c r="L44" s="103"/>
    </row>
    <row r="45" spans="2:18" ht="15.6">
      <c r="B45" s="407" t="s">
        <v>132</v>
      </c>
      <c r="C45" s="144">
        <f>Mam1_FIRw</f>
        <v>0.25540953196953725</v>
      </c>
      <c r="D45" s="105" t="s">
        <v>21</v>
      </c>
      <c r="E45" s="101" t="s">
        <v>267</v>
      </c>
      <c r="H45" s="142"/>
      <c r="I45" s="140"/>
      <c r="J45" s="103"/>
      <c r="L45" s="103"/>
    </row>
    <row r="46" spans="2:18">
      <c r="B46" s="407" t="s">
        <v>14</v>
      </c>
      <c r="C46" s="281">
        <f>Mam1_AUF</f>
        <v>1</v>
      </c>
      <c r="D46" s="105" t="s">
        <v>15</v>
      </c>
      <c r="E46" s="101" t="s">
        <v>25</v>
      </c>
      <c r="H46" s="142"/>
      <c r="I46" s="141"/>
      <c r="J46" s="103"/>
      <c r="L46" s="103"/>
    </row>
    <row r="47" spans="2:18">
      <c r="B47" s="407" t="s">
        <v>5</v>
      </c>
      <c r="C47" s="281">
        <f>Mam1_bw</f>
        <v>1.1299999999999999</v>
      </c>
      <c r="D47" s="105" t="s">
        <v>26</v>
      </c>
      <c r="E47" s="101" t="s">
        <v>6</v>
      </c>
      <c r="H47" s="142"/>
      <c r="I47" s="141"/>
      <c r="J47" s="103"/>
      <c r="K47" s="103"/>
      <c r="L47" s="103"/>
      <c r="M47" s="103"/>
    </row>
    <row r="48" spans="2:18">
      <c r="B48" s="407" t="s">
        <v>388</v>
      </c>
      <c r="C48" s="281">
        <f>Mam1_dwi</f>
        <v>0.10961</v>
      </c>
      <c r="D48" s="105" t="s">
        <v>390</v>
      </c>
      <c r="E48" s="433" t="s">
        <v>389</v>
      </c>
      <c r="H48" s="142"/>
      <c r="I48" s="141"/>
      <c r="J48" s="103"/>
      <c r="K48" s="103"/>
      <c r="L48" s="103"/>
      <c r="M48" s="103"/>
    </row>
    <row r="49" spans="2:20">
      <c r="B49" s="297"/>
      <c r="C49" s="281"/>
      <c r="D49" s="105"/>
      <c r="E49" s="101"/>
      <c r="H49" s="142"/>
      <c r="I49" s="141"/>
      <c r="J49" s="103"/>
      <c r="K49" s="103"/>
      <c r="L49" s="103"/>
      <c r="M49" s="103"/>
    </row>
    <row r="50" spans="2:20">
      <c r="B50" s="238" t="s">
        <v>383</v>
      </c>
      <c r="C50" s="101"/>
      <c r="D50" s="103"/>
      <c r="I50" s="103"/>
      <c r="J50" s="103"/>
    </row>
    <row r="51" spans="2:20">
      <c r="B51" s="487" t="s">
        <v>459</v>
      </c>
      <c r="C51" s="487"/>
      <c r="D51" s="487"/>
      <c r="E51" s="487"/>
      <c r="F51" s="487"/>
      <c r="G51" s="487"/>
      <c r="H51" s="487"/>
      <c r="I51" s="487"/>
      <c r="J51" s="487"/>
      <c r="K51" s="487"/>
      <c r="L51" s="487"/>
      <c r="M51" s="487"/>
      <c r="N51" s="487"/>
      <c r="O51" s="487"/>
      <c r="P51" s="487"/>
      <c r="Q51" s="487"/>
      <c r="R51" s="487"/>
      <c r="S51" s="487"/>
      <c r="T51" s="487"/>
    </row>
    <row r="52" spans="2:20">
      <c r="B52" s="487"/>
      <c r="C52" s="487"/>
      <c r="D52" s="487"/>
      <c r="E52" s="487"/>
      <c r="F52" s="487"/>
      <c r="G52" s="487"/>
      <c r="H52" s="487"/>
      <c r="I52" s="487"/>
      <c r="J52" s="487"/>
      <c r="K52" s="487"/>
      <c r="L52" s="487"/>
      <c r="M52" s="487"/>
      <c r="N52" s="487"/>
      <c r="O52" s="487"/>
      <c r="P52" s="487"/>
      <c r="Q52" s="487"/>
      <c r="R52" s="487"/>
      <c r="S52" s="487"/>
      <c r="T52" s="487"/>
    </row>
    <row r="53" spans="2:20">
      <c r="B53" s="284"/>
      <c r="C53" s="284"/>
      <c r="D53" s="284"/>
      <c r="E53" s="284"/>
      <c r="F53" s="284"/>
      <c r="G53" s="284"/>
      <c r="H53" s="284"/>
      <c r="I53" s="284"/>
      <c r="J53" s="284"/>
      <c r="K53" s="284"/>
      <c r="L53" s="284"/>
      <c r="M53" s="284"/>
      <c r="N53" s="284"/>
      <c r="O53" s="284"/>
      <c r="P53" s="284"/>
      <c r="Q53" s="284"/>
      <c r="R53" s="284"/>
      <c r="S53" s="284"/>
      <c r="T53" s="284"/>
    </row>
    <row r="54" spans="2:20">
      <c r="B54" s="31" t="s">
        <v>22</v>
      </c>
      <c r="C54" s="14"/>
    </row>
    <row r="55" spans="2:20">
      <c r="B55" s="16" t="s">
        <v>45</v>
      </c>
      <c r="C55" s="14" t="s">
        <v>296</v>
      </c>
    </row>
    <row r="56" spans="2:20">
      <c r="B56" s="16" t="s">
        <v>47</v>
      </c>
      <c r="C56" s="206" t="s">
        <v>298</v>
      </c>
    </row>
    <row r="57" spans="2:20">
      <c r="B57" s="13" t="s">
        <v>259</v>
      </c>
      <c r="C57" s="14" t="s">
        <v>294</v>
      </c>
    </row>
    <row r="58" spans="2:20">
      <c r="B58" s="13" t="s">
        <v>261</v>
      </c>
      <c r="C58" s="14" t="s">
        <v>295</v>
      </c>
    </row>
    <row r="59" spans="2:20">
      <c r="B59" s="14" t="s">
        <v>223</v>
      </c>
      <c r="C59" s="14"/>
    </row>
    <row r="60" spans="2:20">
      <c r="B60" s="159" t="s">
        <v>50</v>
      </c>
      <c r="C60" s="14"/>
    </row>
  </sheetData>
  <mergeCells count="17">
    <mergeCell ref="J6:K6"/>
    <mergeCell ref="F6:G6"/>
    <mergeCell ref="B51:T52"/>
    <mergeCell ref="C38:C40"/>
    <mergeCell ref="T6:T7"/>
    <mergeCell ref="S6:S7"/>
    <mergeCell ref="L6:L7"/>
    <mergeCell ref="M6:M7"/>
    <mergeCell ref="N6:N7"/>
    <mergeCell ref="R6:R7"/>
    <mergeCell ref="O6:O7"/>
    <mergeCell ref="P6:P7"/>
    <mergeCell ref="Q6:Q7"/>
    <mergeCell ref="B6:B8"/>
    <mergeCell ref="C6:C8"/>
    <mergeCell ref="D6:E6"/>
    <mergeCell ref="H6:I6"/>
  </mergeCells>
  <conditionalFormatting sqref="F7:F20 F22:F25 F27 F29:F30">
    <cfRule type="expression" dxfId="123" priority="62">
      <formula>ISBLANK(surface_water)</formula>
    </cfRule>
  </conditionalFormatting>
  <conditionalFormatting sqref="G7:G20 G22:G25 G27 G29:G30">
    <cfRule type="expression" dxfId="122" priority="61">
      <formula>ISBLANK(surface_water)</formula>
    </cfRule>
  </conditionalFormatting>
  <conditionalFormatting sqref="F6:G6">
    <cfRule type="expression" dxfId="121" priority="60">
      <formula>ISBLANK(surface_water)</formula>
    </cfRule>
  </conditionalFormatting>
  <conditionalFormatting sqref="F21">
    <cfRule type="expression" dxfId="120" priority="34">
      <formula>ISBLANK(surface_water)</formula>
    </cfRule>
  </conditionalFormatting>
  <conditionalFormatting sqref="G21">
    <cfRule type="expression" dxfId="119" priority="33">
      <formula>ISBLANK(surface_water)</formula>
    </cfRule>
  </conditionalFormatting>
  <conditionalFormatting sqref="F26">
    <cfRule type="expression" dxfId="118" priority="31">
      <formula>ISBLANK(surface_water)</formula>
    </cfRule>
  </conditionalFormatting>
  <conditionalFormatting sqref="G26">
    <cfRule type="expression" dxfId="117" priority="30">
      <formula>ISBLANK(surface_water)</formula>
    </cfRule>
  </conditionalFormatting>
  <conditionalFormatting sqref="F28">
    <cfRule type="expression" dxfId="116" priority="28">
      <formula>ISBLANK(surface_water)</formula>
    </cfRule>
  </conditionalFormatting>
  <conditionalFormatting sqref="G28">
    <cfRule type="expression" dxfId="115" priority="27">
      <formula>ISBLANK(surface_water)</formula>
    </cfRule>
  </conditionalFormatting>
  <conditionalFormatting sqref="E48">
    <cfRule type="expression" dxfId="114" priority="26">
      <formula>ISBLANK(surface_water)</formula>
    </cfRule>
  </conditionalFormatting>
  <conditionalFormatting sqref="D10:O30 R10:R30 T10:T30">
    <cfRule type="cellIs" dxfId="113" priority="25" operator="equal">
      <formula>0</formula>
    </cfRule>
  </conditionalFormatting>
  <conditionalFormatting sqref="P10:Q20">
    <cfRule type="expression" dxfId="112" priority="24">
      <formula>AND(ISNUMBER(P10),P10&gt;1)</formula>
    </cfRule>
  </conditionalFormatting>
  <conditionalFormatting sqref="Q10:Q20">
    <cfRule type="expression" dxfId="111" priority="23">
      <formula>AND(ISNUMBER(Q10),Q10&gt;1)</formula>
    </cfRule>
  </conditionalFormatting>
  <conditionalFormatting sqref="P12:P20 P22:P25 P27 P29:P30">
    <cfRule type="expression" dxfId="110" priority="22">
      <formula>AND(ISNUMBER(P12),P12&gt;1)</formula>
    </cfRule>
  </conditionalFormatting>
  <conditionalFormatting sqref="Q12:Q20 Q22:Q25 Q27 Q29:Q30">
    <cfRule type="expression" dxfId="109" priority="21">
      <formula>AND(ISNUMBER(Q12),Q12&gt;1)</formula>
    </cfRule>
  </conditionalFormatting>
  <conditionalFormatting sqref="P10:Q30">
    <cfRule type="expression" dxfId="108" priority="20">
      <formula>"$P$10:$Q$30,&gt;1)"</formula>
    </cfRule>
  </conditionalFormatting>
  <conditionalFormatting sqref="P11">
    <cfRule type="expression" dxfId="107" priority="19">
      <formula>AND(ISNUMBER(P11),P11&gt;1)</formula>
    </cfRule>
  </conditionalFormatting>
  <conditionalFormatting sqref="Q11">
    <cfRule type="expression" dxfId="106" priority="18">
      <formula>AND(ISNUMBER(Q11),Q11&gt;1)</formula>
    </cfRule>
  </conditionalFormatting>
  <conditionalFormatting sqref="P11:Q11">
    <cfRule type="expression" dxfId="105" priority="17">
      <formula>"$P$10:$Q$30,&gt;1)"</formula>
    </cfRule>
  </conditionalFormatting>
  <conditionalFormatting sqref="P10:Q30">
    <cfRule type="cellIs" dxfId="104" priority="16" operator="equal">
      <formula>0</formula>
    </cfRule>
  </conditionalFormatting>
  <conditionalFormatting sqref="P22:Q25">
    <cfRule type="expression" dxfId="103" priority="15">
      <formula>AND(ISNUMBER(P22),P22&gt;1)</formula>
    </cfRule>
  </conditionalFormatting>
  <conditionalFormatting sqref="Q22:Q25">
    <cfRule type="expression" dxfId="102" priority="14">
      <formula>AND(ISNUMBER(Q22),Q22&gt;1)</formula>
    </cfRule>
  </conditionalFormatting>
  <conditionalFormatting sqref="P27:Q27">
    <cfRule type="expression" dxfId="101" priority="13">
      <formula>AND(ISNUMBER(P27),P27&gt;1)</formula>
    </cfRule>
  </conditionalFormatting>
  <conditionalFormatting sqref="Q27">
    <cfRule type="expression" dxfId="100" priority="12">
      <formula>AND(ISNUMBER(Q27),Q27&gt;1)</formula>
    </cfRule>
  </conditionalFormatting>
  <conditionalFormatting sqref="P29:Q30">
    <cfRule type="expression" dxfId="99" priority="11">
      <formula>AND(ISNUMBER(P29),P29&gt;1)</formula>
    </cfRule>
  </conditionalFormatting>
  <conditionalFormatting sqref="Q29:Q30">
    <cfRule type="expression" dxfId="98" priority="10">
      <formula>AND(ISNUMBER(Q29),Q29&gt;1)</formula>
    </cfRule>
  </conditionalFormatting>
  <conditionalFormatting sqref="S10:S30">
    <cfRule type="cellIs" dxfId="97" priority="9" operator="equal">
      <formula>0</formula>
    </cfRule>
  </conditionalFormatting>
  <conditionalFormatting sqref="S10:S20">
    <cfRule type="expression" dxfId="96" priority="8">
      <formula>AND(ISNUMBER(S10),S10&gt;1)</formula>
    </cfRule>
  </conditionalFormatting>
  <conditionalFormatting sqref="S10:S20">
    <cfRule type="expression" dxfId="95" priority="7">
      <formula>"$P$10:$Q$30,&gt;1)"</formula>
    </cfRule>
  </conditionalFormatting>
  <conditionalFormatting sqref="S22:S25">
    <cfRule type="expression" dxfId="94" priority="6">
      <formula>AND(ISNUMBER(S22),S22&gt;1)</formula>
    </cfRule>
  </conditionalFormatting>
  <conditionalFormatting sqref="S22:S25">
    <cfRule type="expression" dxfId="93" priority="5">
      <formula>"$P$10:$Q$30,&gt;1)"</formula>
    </cfRule>
  </conditionalFormatting>
  <conditionalFormatting sqref="S27">
    <cfRule type="expression" dxfId="92" priority="4">
      <formula>AND(ISNUMBER(S27),S27&gt;1)</formula>
    </cfRule>
  </conditionalFormatting>
  <conditionalFormatting sqref="S27">
    <cfRule type="expression" dxfId="91" priority="3">
      <formula>"$P$10:$Q$30,&gt;1)"</formula>
    </cfRule>
  </conditionalFormatting>
  <conditionalFormatting sqref="S29:S30">
    <cfRule type="expression" dxfId="90" priority="2">
      <formula>AND(ISNUMBER(S29),S29&gt;1)</formula>
    </cfRule>
  </conditionalFormatting>
  <conditionalFormatting sqref="S29:S30">
    <cfRule type="expression" dxfId="89" priority="1">
      <formula>"$P$10:$Q$30,&gt;1)"</formula>
    </cfRule>
  </conditionalFormatting>
  <pageMargins left="0.7" right="0.7" top="0.75" bottom="0.75" header="0.3" footer="0.3"/>
  <pageSetup paperSize="119" scale="22" orientation="landscape" verticalDpi="1200" r:id="rId1"/>
  <headerFooter>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AF2BF-F719-4AF8-B8B2-47C56016D9F2}">
  <sheetPr>
    <tabColor rgb="FFFFFFCC"/>
    <pageSetUpPr fitToPage="1"/>
  </sheetPr>
  <dimension ref="B2:AB60"/>
  <sheetViews>
    <sheetView view="pageBreakPreview" zoomScale="85" zoomScaleNormal="100" zoomScaleSheetLayoutView="85" zoomScalePageLayoutView="70" workbookViewId="0">
      <selection activeCell="B6" sqref="B6:B8"/>
    </sheetView>
  </sheetViews>
  <sheetFormatPr defaultColWidth="9.21875" defaultRowHeight="13.2" outlineLevelCol="1"/>
  <cols>
    <col min="1" max="1" width="1.77734375" style="14" customWidth="1"/>
    <col min="2" max="2" width="25.21875" style="14" customWidth="1"/>
    <col min="3" max="3" width="9.21875" style="14" customWidth="1"/>
    <col min="4" max="5" width="10.77734375" style="14" customWidth="1"/>
    <col min="6" max="7" width="10.77734375" style="14" customWidth="1" outlineLevel="1"/>
    <col min="8" max="10" width="10.77734375" style="14" customWidth="1"/>
    <col min="11" max="12" width="12.44140625" style="14" customWidth="1"/>
    <col min="13" max="14" width="11" style="14" customWidth="1"/>
    <col min="15" max="16" width="12.44140625" style="14" customWidth="1"/>
    <col min="17" max="17" width="11" style="14" customWidth="1"/>
    <col min="18" max="19" width="14.21875" style="14" customWidth="1" outlineLevel="1"/>
    <col min="20" max="20" width="14.21875" style="14" customWidth="1"/>
    <col min="21" max="25" width="11" style="14" customWidth="1"/>
    <col min="26" max="26" width="12.77734375" style="14" customWidth="1"/>
    <col min="27" max="27" width="14.21875" style="14" customWidth="1"/>
    <col min="28" max="28" width="14" style="14" bestFit="1" customWidth="1"/>
    <col min="29" max="29" width="3.77734375" style="14" customWidth="1"/>
    <col min="30" max="16384" width="9.21875" style="14"/>
  </cols>
  <sheetData>
    <row r="2" spans="2:20">
      <c r="B2" s="34" t="str">
        <f>Site</f>
        <v>Test Site #1</v>
      </c>
      <c r="C2" s="15"/>
    </row>
    <row r="3" spans="2:20">
      <c r="B3" s="50" t="str">
        <f>Title12</f>
        <v>Table 12: Exposure Assessment and Hazard Characterization</v>
      </c>
      <c r="C3" s="15"/>
      <c r="E3" s="19"/>
      <c r="F3" s="19"/>
      <c r="G3" s="19"/>
      <c r="H3" s="19"/>
      <c r="I3" s="19"/>
      <c r="J3" s="19"/>
    </row>
    <row r="4" spans="2:20">
      <c r="B4" s="15" t="s">
        <v>28</v>
      </c>
      <c r="C4" s="196" t="str">
        <f>Mam_2</f>
        <v>Short-Tailed Shrew</v>
      </c>
      <c r="L4" s="15"/>
      <c r="M4" s="15"/>
      <c r="N4" s="15"/>
      <c r="O4" s="15"/>
      <c r="P4" s="15"/>
      <c r="Q4" s="15"/>
      <c r="R4" s="15"/>
      <c r="S4" s="15"/>
      <c r="T4" s="15"/>
    </row>
    <row r="5" spans="2:20">
      <c r="B5" s="15"/>
      <c r="C5" s="93"/>
      <c r="L5" s="15"/>
      <c r="M5" s="15"/>
      <c r="N5" s="15"/>
      <c r="O5" s="15"/>
      <c r="P5" s="15"/>
      <c r="Q5" s="15"/>
      <c r="R5" s="15"/>
      <c r="S5" s="15"/>
      <c r="T5" s="15"/>
    </row>
    <row r="6" spans="2:20" ht="23.25" customHeight="1">
      <c r="B6" s="492" t="s">
        <v>52</v>
      </c>
      <c r="C6" s="495" t="s">
        <v>17</v>
      </c>
      <c r="D6" s="496" t="s">
        <v>369</v>
      </c>
      <c r="E6" s="490"/>
      <c r="F6" s="490" t="s">
        <v>432</v>
      </c>
      <c r="G6" s="490"/>
      <c r="H6" s="490" t="s">
        <v>370</v>
      </c>
      <c r="I6" s="490"/>
      <c r="J6" s="490" t="s">
        <v>371</v>
      </c>
      <c r="K6" s="490"/>
      <c r="L6" s="486" t="s">
        <v>374</v>
      </c>
      <c r="M6" s="486" t="s">
        <v>374</v>
      </c>
      <c r="N6" s="486" t="s">
        <v>84</v>
      </c>
      <c r="O6" s="486" t="s">
        <v>83</v>
      </c>
      <c r="P6" s="486" t="s">
        <v>380</v>
      </c>
      <c r="Q6" s="486" t="s">
        <v>381</v>
      </c>
      <c r="R6" s="486" t="s">
        <v>135</v>
      </c>
      <c r="S6" s="486" t="s">
        <v>155</v>
      </c>
      <c r="T6" s="486" t="s">
        <v>382</v>
      </c>
    </row>
    <row r="7" spans="2:20" ht="15.6">
      <c r="B7" s="493"/>
      <c r="C7" s="495"/>
      <c r="D7" s="134" t="s">
        <v>190</v>
      </c>
      <c r="E7" s="265" t="s">
        <v>449</v>
      </c>
      <c r="F7" s="134" t="s">
        <v>190</v>
      </c>
      <c r="G7" s="265" t="s">
        <v>452</v>
      </c>
      <c r="H7" s="134" t="s">
        <v>190</v>
      </c>
      <c r="I7" s="135" t="s">
        <v>157</v>
      </c>
      <c r="J7" s="134" t="s">
        <v>190</v>
      </c>
      <c r="K7" s="265" t="s">
        <v>450</v>
      </c>
      <c r="L7" s="486"/>
      <c r="M7" s="486"/>
      <c r="N7" s="486"/>
      <c r="O7" s="486"/>
      <c r="P7" s="486"/>
      <c r="Q7" s="486"/>
      <c r="R7" s="486"/>
      <c r="S7" s="486"/>
      <c r="T7" s="486"/>
    </row>
    <row r="8" spans="2:20">
      <c r="B8" s="494"/>
      <c r="C8" s="495"/>
      <c r="D8" s="136" t="s">
        <v>91</v>
      </c>
      <c r="E8" s="137" t="s">
        <v>134</v>
      </c>
      <c r="F8" s="266" t="s">
        <v>451</v>
      </c>
      <c r="G8" s="137" t="s">
        <v>134</v>
      </c>
      <c r="H8" s="136" t="s">
        <v>131</v>
      </c>
      <c r="I8" s="137" t="s">
        <v>134</v>
      </c>
      <c r="J8" s="136" t="s">
        <v>131</v>
      </c>
      <c r="K8" s="137" t="s">
        <v>134</v>
      </c>
      <c r="L8" s="137" t="s">
        <v>134</v>
      </c>
      <c r="M8" s="137" t="s">
        <v>18</v>
      </c>
      <c r="N8" s="137" t="s">
        <v>18</v>
      </c>
      <c r="O8" s="137" t="s">
        <v>18</v>
      </c>
      <c r="P8" s="137" t="s">
        <v>19</v>
      </c>
      <c r="Q8" s="138" t="s">
        <v>19</v>
      </c>
      <c r="R8" s="137" t="s">
        <v>18</v>
      </c>
      <c r="S8" s="137" t="s">
        <v>19</v>
      </c>
      <c r="T8" s="137"/>
    </row>
    <row r="9" spans="2:20">
      <c r="B9" s="82" t="s">
        <v>75</v>
      </c>
      <c r="C9" s="125"/>
      <c r="D9" s="67"/>
      <c r="E9" s="67"/>
      <c r="F9" s="67"/>
      <c r="G9" s="67"/>
      <c r="H9" s="67"/>
      <c r="I9" s="67"/>
      <c r="J9" s="67"/>
      <c r="K9" s="67"/>
      <c r="L9" s="67"/>
      <c r="M9" s="67"/>
      <c r="N9" s="67"/>
      <c r="O9" s="67"/>
      <c r="P9" s="67"/>
      <c r="Q9" s="67"/>
      <c r="R9" s="67"/>
      <c r="S9" s="67"/>
      <c r="T9" s="84"/>
    </row>
    <row r="10" spans="2:20">
      <c r="B10" s="79" t="s">
        <v>59</v>
      </c>
      <c r="C10" s="39">
        <v>1</v>
      </c>
      <c r="D10" s="94">
        <f>S_PFBA</f>
        <v>1000</v>
      </c>
      <c r="E10" s="95">
        <f t="shared" ref="E10:E20" si="0">IFERROR(D10*$C10*Mam2_fir*Mam2_AUF*Mam2_Pso/Mam2_BW,"--")</f>
        <v>4.320685951987155</v>
      </c>
      <c r="F10" s="95">
        <f>W_PFBA</f>
        <v>10</v>
      </c>
      <c r="G10" s="95">
        <f t="shared" ref="G10:G20" si="1">IFERROR(F10*Mam2_dwi*Mam2_AUF/Mam2_BW,"--")</f>
        <v>2.23</v>
      </c>
      <c r="H10" s="95">
        <f>VLOOKUP($B10,EPCs!$B$5:$G$28,3,FALSE)</f>
        <v>22000</v>
      </c>
      <c r="I10" s="95">
        <f t="shared" ref="I10:I20" si="2">IFERROR(H10*Mam2_FIRw*Mam2_AUF*Mam2_Pveg/Mam2_BW,"--")</f>
        <v>483.33178412810605</v>
      </c>
      <c r="J10" s="95" t="str">
        <f>VLOOKUP($B10,EPCs!$B$5:$G$28,5,FALSE)</f>
        <v>n/a</v>
      </c>
      <c r="K10" s="95" t="str">
        <f t="shared" ref="K10:K20" si="3">IFERROR(J10*Mam2_FIRw*Mam2_AUF*Mam2_Pinv/Mam2_BW,"--")</f>
        <v>--</v>
      </c>
      <c r="L10" s="95">
        <f>SUM(E10,G10,I10,K10)</f>
        <v>489.88247008009319</v>
      </c>
      <c r="M10" s="95">
        <f>L10/10^6</f>
        <v>4.898824700800932E-4</v>
      </c>
      <c r="N10" s="95">
        <f>VLOOKUP($B10,TRVs_mammals!$B$5:$J$28,2,FALSE)</f>
        <v>30</v>
      </c>
      <c r="O10" s="95" t="str">
        <f>VLOOKUP($B10,TRVs_mammals!$B$5:$J$28,5,FALSE)</f>
        <v>--</v>
      </c>
      <c r="P10" s="96">
        <f>IF(OR($M10=0,ISTEXT(N10)),"--",$M10/N10)</f>
        <v>1.6329415669336441E-5</v>
      </c>
      <c r="Q10" s="96" t="str">
        <f>IF(OR($M10=0,ISTEXT(O10)),"--",$M10/O10)</f>
        <v>--</v>
      </c>
      <c r="R10" s="395" t="str">
        <f>IF(ISBLANK(VLOOKUP($B10,TRVs_mammals!$B$5:$J$28,8,FALSE)),"--",VLOOKUP($B10,TRVs_mammals!$B$5:$J$28,8,FALSE))</f>
        <v>--</v>
      </c>
      <c r="S10" s="96" t="str">
        <f>IF(OR($M10=0,ISTEXT(R10)),"--",$M10/R10)</f>
        <v>--</v>
      </c>
      <c r="T10" s="283" t="str">
        <f>IF(AND(H10="n/a",ISNUMBER($C$41),$C$41&gt;0),"PU",IF(AND(J10="n/a",ISNUMBER($C$42),$C$42&gt;0),"PU",""))</f>
        <v>PU</v>
      </c>
    </row>
    <row r="11" spans="2:20">
      <c r="B11" s="80" t="s">
        <v>60</v>
      </c>
      <c r="C11" s="39">
        <v>1</v>
      </c>
      <c r="D11" s="94">
        <f>S_PFPeA</f>
        <v>1000</v>
      </c>
      <c r="E11" s="95">
        <f t="shared" si="0"/>
        <v>4.320685951987155</v>
      </c>
      <c r="F11" s="95">
        <f>W_PFPeA</f>
        <v>10</v>
      </c>
      <c r="G11" s="95">
        <f t="shared" si="1"/>
        <v>2.23</v>
      </c>
      <c r="H11" s="95">
        <f>VLOOKUP($B11,EPCs!$B$5:$G$28,3,FALSE)</f>
        <v>130000</v>
      </c>
      <c r="I11" s="95">
        <f t="shared" si="2"/>
        <v>2856.0514516660814</v>
      </c>
      <c r="J11" s="95">
        <f>VLOOKUP($B11,EPCs!$B$5:$G$28,5,FALSE)</f>
        <v>340</v>
      </c>
      <c r="K11" s="95">
        <f t="shared" si="3"/>
        <v>130.85760525838722</v>
      </c>
      <c r="L11" s="95">
        <f t="shared" ref="L11:L30" si="4">SUM(E11,G11,I11,K11)</f>
        <v>2993.4597428764559</v>
      </c>
      <c r="M11" s="95">
        <f t="shared" ref="M11:M30" si="5">L11/10^6</f>
        <v>2.9934597428764561E-3</v>
      </c>
      <c r="N11" s="95" t="str">
        <f>VLOOKUP($B11,TRVs_mammals!$B$5:$J$28,2,FALSE)</f>
        <v>No TRV</v>
      </c>
      <c r="O11" s="95" t="str">
        <f>VLOOKUP($B11,TRVs_mammals!$B$5:$J$28,5,FALSE)</f>
        <v>No TRV</v>
      </c>
      <c r="P11" s="96" t="str">
        <f t="shared" ref="P11:Q20" si="6">IF(OR($M11=0,ISTEXT(N11)),"--",$M11/N11)</f>
        <v>--</v>
      </c>
      <c r="Q11" s="96" t="str">
        <f t="shared" si="6"/>
        <v>--</v>
      </c>
      <c r="R11" s="395" t="str">
        <f>IF(ISBLANK(VLOOKUP($B11,TRVs_mammals!$B$5:$J$28,8,FALSE)),"--",VLOOKUP($B11,TRVs_mammals!$B$5:$J$28,8,FALSE))</f>
        <v>--</v>
      </c>
      <c r="S11" s="96" t="str">
        <f t="shared" ref="S11:S20" si="7">IF(OR($M11=0,ISTEXT(R11)),"--",$M11/R11)</f>
        <v>--</v>
      </c>
      <c r="T11" s="283" t="str">
        <f t="shared" ref="T11:T20" si="8">IF(AND(H11="n/a",ISNUMBER($C$41),$C$41&gt;0),"PU",IF(AND(J11="n/a",ISNUMBER($C$42),$C$42&gt;0),"PU",""))</f>
        <v/>
      </c>
    </row>
    <row r="12" spans="2:20">
      <c r="B12" s="80" t="s">
        <v>61</v>
      </c>
      <c r="C12" s="39">
        <v>1</v>
      </c>
      <c r="D12" s="94">
        <f>S_PFHxA</f>
        <v>2000</v>
      </c>
      <c r="E12" s="95">
        <f t="shared" si="0"/>
        <v>8.64137190397431</v>
      </c>
      <c r="F12" s="95">
        <f>W_PFHxA</f>
        <v>10</v>
      </c>
      <c r="G12" s="95">
        <f t="shared" si="1"/>
        <v>2.23</v>
      </c>
      <c r="H12" s="95">
        <f>VLOOKUP($B12,EPCs!$B$5:$G$28,3,FALSE)</f>
        <v>5</v>
      </c>
      <c r="I12" s="95">
        <f t="shared" si="2"/>
        <v>0.10984813275638775</v>
      </c>
      <c r="J12" s="95">
        <f>VLOOKUP($B12,EPCs!$B$5:$G$28,5,FALSE)</f>
        <v>60</v>
      </c>
      <c r="K12" s="95">
        <f t="shared" si="3"/>
        <v>23.092518575009514</v>
      </c>
      <c r="L12" s="95">
        <f t="shared" si="4"/>
        <v>34.073738611740211</v>
      </c>
      <c r="M12" s="95">
        <f t="shared" si="5"/>
        <v>3.4073738611740208E-5</v>
      </c>
      <c r="N12" s="95">
        <f>VLOOKUP($B12,TRVs_mammals!$B$5:$J$28,2,FALSE)</f>
        <v>30</v>
      </c>
      <c r="O12" s="95">
        <f>VLOOKUP($B12,TRVs_mammals!$B$5:$J$28,5,FALSE)</f>
        <v>200</v>
      </c>
      <c r="P12" s="96">
        <f t="shared" si="6"/>
        <v>1.135791287058007E-6</v>
      </c>
      <c r="Q12" s="96">
        <f t="shared" si="6"/>
        <v>1.7036869305870103E-7</v>
      </c>
      <c r="R12" s="395" t="str">
        <f>IF(ISBLANK(VLOOKUP($B12,TRVs_mammals!$B$5:$J$28,8,FALSE)),"--",VLOOKUP($B12,TRVs_mammals!$B$5:$J$28,8,FALSE))</f>
        <v>--</v>
      </c>
      <c r="S12" s="96" t="str">
        <f t="shared" si="7"/>
        <v>--</v>
      </c>
      <c r="T12" s="283" t="str">
        <f t="shared" si="8"/>
        <v/>
      </c>
    </row>
    <row r="13" spans="2:20">
      <c r="B13" s="80" t="s">
        <v>62</v>
      </c>
      <c r="C13" s="39">
        <v>1</v>
      </c>
      <c r="D13" s="94">
        <f>S_PFHpA</f>
        <v>2000</v>
      </c>
      <c r="E13" s="95">
        <f t="shared" si="0"/>
        <v>8.64137190397431</v>
      </c>
      <c r="F13" s="95">
        <f>W_PFHpA</f>
        <v>30</v>
      </c>
      <c r="G13" s="95">
        <f t="shared" si="1"/>
        <v>6.6899999999999995</v>
      </c>
      <c r="H13" s="95">
        <f>VLOOKUP($B13,EPCs!$B$5:$G$28,3,FALSE)</f>
        <v>18800</v>
      </c>
      <c r="I13" s="95">
        <f t="shared" si="2"/>
        <v>413.02897916401793</v>
      </c>
      <c r="J13" s="95">
        <f>VLOOKUP($B13,EPCs!$B$5:$G$28,5,FALSE)</f>
        <v>2400</v>
      </c>
      <c r="K13" s="95">
        <f t="shared" si="3"/>
        <v>923.7007430003805</v>
      </c>
      <c r="L13" s="95">
        <f t="shared" si="4"/>
        <v>1352.0610940683728</v>
      </c>
      <c r="M13" s="95">
        <f t="shared" si="5"/>
        <v>1.3520610940683728E-3</v>
      </c>
      <c r="N13" s="95" t="str">
        <f>VLOOKUP($B13,TRVs_mammals!$B$5:$J$28,2,FALSE)</f>
        <v>No TRV</v>
      </c>
      <c r="O13" s="95" t="str">
        <f>VLOOKUP($B13,TRVs_mammals!$B$5:$J$28,5,FALSE)</f>
        <v>No TRV</v>
      </c>
      <c r="P13" s="96" t="str">
        <f t="shared" si="6"/>
        <v>--</v>
      </c>
      <c r="Q13" s="96" t="str">
        <f t="shared" si="6"/>
        <v>--</v>
      </c>
      <c r="R13" s="395" t="str">
        <f>IF(ISBLANK(VLOOKUP($B13,TRVs_mammals!$B$5:$J$28,8,FALSE)),"--",VLOOKUP($B13,TRVs_mammals!$B$5:$J$28,8,FALSE))</f>
        <v>--</v>
      </c>
      <c r="S13" s="96" t="str">
        <f t="shared" si="7"/>
        <v>--</v>
      </c>
      <c r="T13" s="283" t="str">
        <f t="shared" si="8"/>
        <v/>
      </c>
    </row>
    <row r="14" spans="2:20">
      <c r="B14" s="80" t="s">
        <v>38</v>
      </c>
      <c r="C14" s="39">
        <v>1</v>
      </c>
      <c r="D14" s="94">
        <f>S_PFOA</f>
        <v>3000</v>
      </c>
      <c r="E14" s="95">
        <f t="shared" si="0"/>
        <v>12.962057855961465</v>
      </c>
      <c r="F14" s="95">
        <f>W_PFOA</f>
        <v>10</v>
      </c>
      <c r="G14" s="95">
        <f t="shared" si="1"/>
        <v>2.23</v>
      </c>
      <c r="H14" s="95">
        <f>VLOOKUP($B14,EPCs!$B$5:$G$28,3,FALSE)</f>
        <v>10</v>
      </c>
      <c r="I14" s="95">
        <f t="shared" si="2"/>
        <v>0.21969626551277549</v>
      </c>
      <c r="J14" s="95">
        <f>VLOOKUP($B14,EPCs!$B$5:$G$28,5,FALSE)</f>
        <v>1</v>
      </c>
      <c r="K14" s="95">
        <f t="shared" si="3"/>
        <v>0.38487530958349186</v>
      </c>
      <c r="L14" s="95">
        <f t="shared" si="4"/>
        <v>15.796629431057733</v>
      </c>
      <c r="M14" s="95">
        <f t="shared" si="5"/>
        <v>1.5796629431057733E-5</v>
      </c>
      <c r="N14" s="95">
        <f>VLOOKUP($B14,TRVs_mammals!$B$5:$J$28,2,FALSE)</f>
        <v>1.3</v>
      </c>
      <c r="O14" s="95">
        <f>VLOOKUP($B14,TRVs_mammals!$B$5:$J$28,5,FALSE)</f>
        <v>14</v>
      </c>
      <c r="P14" s="96">
        <f t="shared" si="6"/>
        <v>1.2151253408505948E-5</v>
      </c>
      <c r="Q14" s="96">
        <f t="shared" si="6"/>
        <v>1.128330673646981E-6</v>
      </c>
      <c r="R14" s="395" t="str">
        <f>IF(ISBLANK(VLOOKUP($B14,TRVs_mammals!$B$5:$J$28,8,FALSE)),"--",VLOOKUP($B14,TRVs_mammals!$B$5:$J$28,8,FALSE))</f>
        <v>--</v>
      </c>
      <c r="S14" s="96" t="str">
        <f t="shared" si="7"/>
        <v>--</v>
      </c>
      <c r="T14" s="283" t="str">
        <f t="shared" si="8"/>
        <v/>
      </c>
    </row>
    <row r="15" spans="2:20">
      <c r="B15" s="80" t="s">
        <v>63</v>
      </c>
      <c r="C15" s="39">
        <v>1</v>
      </c>
      <c r="D15" s="94">
        <f>S_PFNA</f>
        <v>3000</v>
      </c>
      <c r="E15" s="95">
        <f t="shared" si="0"/>
        <v>12.962057855961465</v>
      </c>
      <c r="F15" s="95">
        <f>W_PFNA</f>
        <v>10</v>
      </c>
      <c r="G15" s="95">
        <f t="shared" si="1"/>
        <v>2.23</v>
      </c>
      <c r="H15" s="95">
        <f>VLOOKUP($B15,EPCs!$B$5:$G$28,3,FALSE)</f>
        <v>3600</v>
      </c>
      <c r="I15" s="95">
        <f t="shared" si="2"/>
        <v>79.090655584599176</v>
      </c>
      <c r="J15" s="95">
        <f>VLOOKUP($B15,EPCs!$B$5:$G$28,5,FALSE)</f>
        <v>27300</v>
      </c>
      <c r="K15" s="95">
        <f t="shared" si="3"/>
        <v>10507.095951629328</v>
      </c>
      <c r="L15" s="95">
        <f t="shared" si="4"/>
        <v>10601.378665069888</v>
      </c>
      <c r="M15" s="95">
        <f t="shared" si="5"/>
        <v>1.0601378665069888E-2</v>
      </c>
      <c r="N15" s="95">
        <f>VLOOKUP($B15,TRVs_mammals!$B$5:$J$28,2,FALSE)</f>
        <v>0.83</v>
      </c>
      <c r="O15" s="95">
        <f>VLOOKUP($B15,TRVs_mammals!$B$5:$J$28,5,FALSE)</f>
        <v>1.1000000000000001</v>
      </c>
      <c r="P15" s="96">
        <f t="shared" si="6"/>
        <v>1.2772745379602275E-2</v>
      </c>
      <c r="Q15" s="96">
        <f t="shared" si="6"/>
        <v>9.6376169682453518E-3</v>
      </c>
      <c r="R15" s="395" t="str">
        <f>IF(ISBLANK(VLOOKUP($B15,TRVs_mammals!$B$5:$J$28,8,FALSE)),"--",VLOOKUP($B15,TRVs_mammals!$B$5:$J$28,8,FALSE))</f>
        <v>--</v>
      </c>
      <c r="S15" s="96" t="str">
        <f t="shared" si="7"/>
        <v>--</v>
      </c>
      <c r="T15" s="283" t="str">
        <f t="shared" si="8"/>
        <v/>
      </c>
    </row>
    <row r="16" spans="2:20">
      <c r="B16" s="80" t="s">
        <v>64</v>
      </c>
      <c r="C16" s="39">
        <v>1</v>
      </c>
      <c r="D16" s="94">
        <f>S_PFDA</f>
        <v>4000</v>
      </c>
      <c r="E16" s="95">
        <f t="shared" si="0"/>
        <v>17.28274380794862</v>
      </c>
      <c r="F16" s="95">
        <f>W_PFDA</f>
        <v>10</v>
      </c>
      <c r="G16" s="95">
        <f t="shared" si="1"/>
        <v>2.23</v>
      </c>
      <c r="H16" s="95">
        <f>VLOOKUP($B16,EPCs!$B$5:$G$28,3,FALSE)</f>
        <v>3360</v>
      </c>
      <c r="I16" s="95">
        <f t="shared" si="2"/>
        <v>73.817945212292585</v>
      </c>
      <c r="J16" s="95">
        <f>VLOOKUP($B16,EPCs!$B$5:$G$28,5,FALSE)</f>
        <v>104000</v>
      </c>
      <c r="K16" s="95">
        <f t="shared" si="3"/>
        <v>40027.032196683147</v>
      </c>
      <c r="L16" s="95">
        <f t="shared" si="4"/>
        <v>40120.362885703391</v>
      </c>
      <c r="M16" s="95">
        <f t="shared" si="5"/>
        <v>4.0120362885703392E-2</v>
      </c>
      <c r="N16" s="95">
        <f>VLOOKUP($B16,TRVs_mammals!$B$5:$J$28,2,FALSE)</f>
        <v>0.3</v>
      </c>
      <c r="O16" s="95">
        <f>VLOOKUP($B16,TRVs_mammals!$B$5:$J$28,5,FALSE)</f>
        <v>1</v>
      </c>
      <c r="P16" s="96">
        <f t="shared" si="6"/>
        <v>0.13373454295234466</v>
      </c>
      <c r="Q16" s="96">
        <f t="shared" si="6"/>
        <v>4.0120362885703392E-2</v>
      </c>
      <c r="R16" s="395">
        <f>IF(ISBLANK(VLOOKUP($B16,TRVs_mammals!$B$5:$J$28,8,FALSE)),"--",VLOOKUP($B16,TRVs_mammals!$B$5:$J$28,8,FALSE))</f>
        <v>6.4</v>
      </c>
      <c r="S16" s="96">
        <f t="shared" si="7"/>
        <v>6.268806700891155E-3</v>
      </c>
      <c r="T16" s="283" t="str">
        <f t="shared" si="8"/>
        <v/>
      </c>
    </row>
    <row r="17" spans="2:28">
      <c r="B17" s="80" t="s">
        <v>65</v>
      </c>
      <c r="C17" s="39">
        <v>1</v>
      </c>
      <c r="D17" s="94">
        <f>S_PFUnDA</f>
        <v>4000</v>
      </c>
      <c r="E17" s="95">
        <f t="shared" si="0"/>
        <v>17.28274380794862</v>
      </c>
      <c r="F17" s="95">
        <f>W_PFUnDA</f>
        <v>10</v>
      </c>
      <c r="G17" s="95">
        <f t="shared" si="1"/>
        <v>2.23</v>
      </c>
      <c r="H17" s="95">
        <f>VLOOKUP($B17,EPCs!$B$5:$G$28,3,FALSE)</f>
        <v>3040</v>
      </c>
      <c r="I17" s="95">
        <f t="shared" si="2"/>
        <v>66.78766471588375</v>
      </c>
      <c r="J17" s="95">
        <f>VLOOKUP($B17,EPCs!$B$5:$G$28,5,FALSE)</f>
        <v>156000</v>
      </c>
      <c r="K17" s="95">
        <f t="shared" si="3"/>
        <v>60040.548295024731</v>
      </c>
      <c r="L17" s="95">
        <f t="shared" si="4"/>
        <v>60126.848703548567</v>
      </c>
      <c r="M17" s="95">
        <f t="shared" si="5"/>
        <v>6.012684870354857E-2</v>
      </c>
      <c r="N17" s="95">
        <f>VLOOKUP($B17,TRVs_mammals!$B$5:$J$28,2,FALSE)</f>
        <v>0.3</v>
      </c>
      <c r="O17" s="95">
        <f>VLOOKUP($B17,TRVs_mammals!$B$5:$J$28,5,FALSE)</f>
        <v>1</v>
      </c>
      <c r="P17" s="96">
        <f t="shared" si="6"/>
        <v>0.20042282901182856</v>
      </c>
      <c r="Q17" s="96">
        <f t="shared" si="6"/>
        <v>6.012684870354857E-2</v>
      </c>
      <c r="R17" s="395" t="str">
        <f>IF(ISBLANK(VLOOKUP($B17,TRVs_mammals!$B$5:$J$28,8,FALSE)),"--",VLOOKUP($B17,TRVs_mammals!$B$5:$J$28,8,FALSE))</f>
        <v>--</v>
      </c>
      <c r="S17" s="96" t="str">
        <f t="shared" si="7"/>
        <v>--</v>
      </c>
      <c r="T17" s="283" t="str">
        <f t="shared" si="8"/>
        <v/>
      </c>
    </row>
    <row r="18" spans="2:28">
      <c r="B18" s="80" t="s">
        <v>66</v>
      </c>
      <c r="C18" s="39">
        <v>1</v>
      </c>
      <c r="D18" s="94">
        <f>S_PFDoDA</f>
        <v>5000</v>
      </c>
      <c r="E18" s="95">
        <f t="shared" si="0"/>
        <v>21.603429759935779</v>
      </c>
      <c r="F18" s="95">
        <f>W_PFDoDA</f>
        <v>10</v>
      </c>
      <c r="G18" s="95">
        <f t="shared" si="1"/>
        <v>2.23</v>
      </c>
      <c r="H18" s="95">
        <f>VLOOKUP($B18,EPCs!$B$5:$G$28,3,FALSE)</f>
        <v>3350</v>
      </c>
      <c r="I18" s="95">
        <f t="shared" si="2"/>
        <v>73.59824894677979</v>
      </c>
      <c r="J18" s="95">
        <f>VLOOKUP($B18,EPCs!$B$5:$G$28,5,FALSE)</f>
        <v>305000</v>
      </c>
      <c r="K18" s="95">
        <f t="shared" si="3"/>
        <v>117386.96942296503</v>
      </c>
      <c r="L18" s="95">
        <f t="shared" si="4"/>
        <v>117484.40110167176</v>
      </c>
      <c r="M18" s="95">
        <f t="shared" si="5"/>
        <v>0.11748440110167176</v>
      </c>
      <c r="N18" s="95">
        <f>VLOOKUP($B18,TRVs_mammals!$B$5:$J$28,2,FALSE)</f>
        <v>0.5</v>
      </c>
      <c r="O18" s="95">
        <f>VLOOKUP($B18,TRVs_mammals!$B$5:$J$28,5,FALSE)</f>
        <v>2.5</v>
      </c>
      <c r="P18" s="96">
        <f t="shared" si="6"/>
        <v>0.23496880220334351</v>
      </c>
      <c r="Q18" s="96">
        <f t="shared" si="6"/>
        <v>4.6993760440668705E-2</v>
      </c>
      <c r="R18" s="395" t="str">
        <f>IF(ISBLANK(VLOOKUP($B18,TRVs_mammals!$B$5:$J$28,8,FALSE)),"--",VLOOKUP($B18,TRVs_mammals!$B$5:$J$28,8,FALSE))</f>
        <v>--</v>
      </c>
      <c r="S18" s="96" t="str">
        <f t="shared" si="7"/>
        <v>--</v>
      </c>
      <c r="T18" s="283" t="str">
        <f t="shared" si="8"/>
        <v/>
      </c>
    </row>
    <row r="19" spans="2:28">
      <c r="B19" s="80" t="s">
        <v>67</v>
      </c>
      <c r="C19" s="39">
        <v>1</v>
      </c>
      <c r="D19" s="94">
        <f>S_PFTrDA</f>
        <v>5000</v>
      </c>
      <c r="E19" s="95">
        <f t="shared" si="0"/>
        <v>21.603429759935779</v>
      </c>
      <c r="F19" s="95">
        <f>W_PFTrDA</f>
        <v>10</v>
      </c>
      <c r="G19" s="95">
        <f t="shared" si="1"/>
        <v>2.23</v>
      </c>
      <c r="H19" s="95" t="str">
        <f>VLOOKUP($B19,EPCs!$B$5:$G$28,3,FALSE)</f>
        <v>n/a</v>
      </c>
      <c r="I19" s="95" t="str">
        <f t="shared" si="2"/>
        <v>--</v>
      </c>
      <c r="J19" s="95" t="str">
        <f>VLOOKUP($B19,EPCs!$B$5:$G$28,5,FALSE)</f>
        <v>n/a</v>
      </c>
      <c r="K19" s="95" t="str">
        <f t="shared" si="3"/>
        <v>--</v>
      </c>
      <c r="L19" s="95">
        <f t="shared" si="4"/>
        <v>23.833429759935779</v>
      </c>
      <c r="M19" s="95">
        <f t="shared" si="5"/>
        <v>2.3833429759935779E-5</v>
      </c>
      <c r="N19" s="95" t="str">
        <f>VLOOKUP($B19,TRVs_mammals!$B$5:$J$28,2,FALSE)</f>
        <v>No TRV</v>
      </c>
      <c r="O19" s="95" t="str">
        <f>VLOOKUP($B19,TRVs_mammals!$B$5:$J$28,5,FALSE)</f>
        <v>No TRV</v>
      </c>
      <c r="P19" s="96" t="str">
        <f t="shared" si="6"/>
        <v>--</v>
      </c>
      <c r="Q19" s="96" t="str">
        <f t="shared" si="6"/>
        <v>--</v>
      </c>
      <c r="R19" s="395" t="str">
        <f>IF(ISBLANK(VLOOKUP($B19,TRVs_mammals!$B$5:$J$28,8,FALSE)),"--",VLOOKUP($B19,TRVs_mammals!$B$5:$J$28,8,FALSE))</f>
        <v>--</v>
      </c>
      <c r="S19" s="96" t="str">
        <f t="shared" si="7"/>
        <v>--</v>
      </c>
      <c r="T19" s="283" t="str">
        <f t="shared" si="8"/>
        <v>PU</v>
      </c>
    </row>
    <row r="20" spans="2:28">
      <c r="B20" s="80" t="s">
        <v>68</v>
      </c>
      <c r="C20" s="39">
        <v>1</v>
      </c>
      <c r="D20" s="94">
        <f>S_PFTeDA</f>
        <v>6000</v>
      </c>
      <c r="E20" s="95">
        <f t="shared" si="0"/>
        <v>25.92411571192293</v>
      </c>
      <c r="F20" s="95">
        <f>W_PFTeDA</f>
        <v>10</v>
      </c>
      <c r="G20" s="95">
        <f t="shared" si="1"/>
        <v>2.23</v>
      </c>
      <c r="H20" s="95">
        <f>VLOOKUP($B20,EPCs!$B$5:$G$28,3,FALSE)</f>
        <v>10</v>
      </c>
      <c r="I20" s="95">
        <f t="shared" si="2"/>
        <v>0.21969626551277549</v>
      </c>
      <c r="J20" s="95">
        <f>VLOOKUP($B20,EPCs!$B$5:$G$28,5,FALSE)</f>
        <v>25</v>
      </c>
      <c r="K20" s="95">
        <f t="shared" si="3"/>
        <v>9.6218827395872957</v>
      </c>
      <c r="L20" s="95">
        <f t="shared" si="4"/>
        <v>37.995694717022999</v>
      </c>
      <c r="M20" s="95">
        <f t="shared" si="5"/>
        <v>3.7995694717023002E-5</v>
      </c>
      <c r="N20" s="95">
        <f>VLOOKUP($B20,TRVs_mammals!$B$5:$J$28,2,FALSE)</f>
        <v>3</v>
      </c>
      <c r="O20" s="95">
        <f>VLOOKUP($B20,TRVs_mammals!$B$5:$J$28,5,FALSE)</f>
        <v>10</v>
      </c>
      <c r="P20" s="96">
        <f t="shared" si="6"/>
        <v>1.2665231572341001E-5</v>
      </c>
      <c r="Q20" s="96">
        <f t="shared" si="6"/>
        <v>3.7995694717023003E-6</v>
      </c>
      <c r="R20" s="395" t="str">
        <f>IF(ISBLANK(VLOOKUP($B20,TRVs_mammals!$B$5:$J$28,8,FALSE)),"--",VLOOKUP($B20,TRVs_mammals!$B$5:$J$28,8,FALSE))</f>
        <v>--</v>
      </c>
      <c r="S20" s="96" t="str">
        <f t="shared" si="7"/>
        <v>--</v>
      </c>
      <c r="T20" s="283" t="str">
        <f t="shared" si="8"/>
        <v/>
      </c>
    </row>
    <row r="21" spans="2:28">
      <c r="B21" s="202" t="s">
        <v>76</v>
      </c>
      <c r="C21" s="125"/>
      <c r="D21" s="67"/>
      <c r="E21" s="67"/>
      <c r="F21" s="67"/>
      <c r="G21" s="67"/>
      <c r="H21" s="67"/>
      <c r="I21" s="67"/>
      <c r="J21" s="67"/>
      <c r="K21" s="67"/>
      <c r="L21" s="67"/>
      <c r="M21" s="67"/>
      <c r="N21" s="67"/>
      <c r="O21" s="67"/>
      <c r="P21" s="67"/>
      <c r="Q21" s="67"/>
      <c r="R21" s="67"/>
      <c r="S21" s="67"/>
      <c r="T21" s="396"/>
    </row>
    <row r="22" spans="2:28">
      <c r="B22" s="80" t="s">
        <v>69</v>
      </c>
      <c r="C22" s="39">
        <v>1</v>
      </c>
      <c r="D22" s="94">
        <f>S_PFBS</f>
        <v>1000</v>
      </c>
      <c r="E22" s="95">
        <f>IFERROR(D22*$C22*Mam2_fir*Mam2_AUF*Mam2_Pso/Mam2_BW,"--")</f>
        <v>4.320685951987155</v>
      </c>
      <c r="F22" s="95">
        <f>W_PFBS</f>
        <v>10</v>
      </c>
      <c r="G22" s="95">
        <f>IFERROR(F22*Mam2_dwi*Mam2_AUF/Mam2_BW,"--")</f>
        <v>2.23</v>
      </c>
      <c r="H22" s="95">
        <f>VLOOKUP($B22,EPCs!$B$5:$G$28,3,FALSE)</f>
        <v>40000</v>
      </c>
      <c r="I22" s="95">
        <f>IFERROR(H22*Mam2_FIRw*Mam2_AUF*Mam2_Pveg/Mam2_BW,"--")</f>
        <v>878.78506205110193</v>
      </c>
      <c r="J22" s="95">
        <f>VLOOKUP($B22,EPCs!$B$5:$G$28,5,FALSE)</f>
        <v>5</v>
      </c>
      <c r="K22" s="95">
        <f>IFERROR(J22*Mam2_FIRw*Mam2_AUF*Mam2_Pinv/Mam2_BW,"--")</f>
        <v>1.9243765479174593</v>
      </c>
      <c r="L22" s="95">
        <f t="shared" si="4"/>
        <v>887.26012455100647</v>
      </c>
      <c r="M22" s="95">
        <f t="shared" si="5"/>
        <v>8.8726012455100651E-4</v>
      </c>
      <c r="N22" s="95">
        <f>VLOOKUP($B22,TRVs_mammals!$B$5:$J$28,2,FALSE)</f>
        <v>300</v>
      </c>
      <c r="O22" s="95">
        <f>VLOOKUP($B22,TRVs_mammals!$B$5:$J$28,5,FALSE)</f>
        <v>1000</v>
      </c>
      <c r="P22" s="96">
        <f t="shared" ref="P22:Q25" si="9">IF(OR($M22=0,ISTEXT(N22)),"--",$M22/N22)</f>
        <v>2.9575337485033549E-6</v>
      </c>
      <c r="Q22" s="96">
        <f t="shared" si="9"/>
        <v>8.8726012455100652E-7</v>
      </c>
      <c r="R22" s="395" t="str">
        <f>IF(ISBLANK(VLOOKUP($B22,TRVs_mammals!$B$5:$J$28,8,FALSE)),"--",VLOOKUP($B22,TRVs_mammals!$B$5:$J$28,8,FALSE))</f>
        <v>--</v>
      </c>
      <c r="S22" s="96" t="str">
        <f t="shared" ref="S22:S25" si="10">IF(OR($M22=0,ISTEXT(R22)),"--",$M22/R22)</f>
        <v>--</v>
      </c>
      <c r="T22" s="283" t="str">
        <f t="shared" ref="T22:T25" si="11">IF(AND(H22="n/a",ISNUMBER($C$41),$C$41&gt;0),"PU",IF(AND(J22="n/a",ISNUMBER($C$42),$C$42&gt;0),"PU",""))</f>
        <v/>
      </c>
    </row>
    <row r="23" spans="2:28">
      <c r="B23" s="80" t="s">
        <v>70</v>
      </c>
      <c r="C23" s="39">
        <v>1</v>
      </c>
      <c r="D23" s="94">
        <f>S_PFHxS</f>
        <v>2000</v>
      </c>
      <c r="E23" s="95">
        <f>IFERROR(D23*$C23*Mam2_fir*Mam2_AUF*Mam2_Pso/Mam2_BW,"--")</f>
        <v>8.64137190397431</v>
      </c>
      <c r="F23" s="95">
        <f>W_PFHxS</f>
        <v>10</v>
      </c>
      <c r="G23" s="95">
        <f>IFERROR(F23*Mam2_dwi*Mam2_AUF/Mam2_BW,"--")</f>
        <v>2.23</v>
      </c>
      <c r="H23" s="95">
        <f>VLOOKUP($B23,EPCs!$B$5:$G$28,3,FALSE)</f>
        <v>10</v>
      </c>
      <c r="I23" s="95">
        <f>IFERROR(H23*Mam2_FIRw*Mam2_AUF*Mam2_Pveg/Mam2_BW,"--")</f>
        <v>0.21969626551277549</v>
      </c>
      <c r="J23" s="95">
        <f>VLOOKUP($B23,EPCs!$B$5:$G$28,5,FALSE)</f>
        <v>68000</v>
      </c>
      <c r="K23" s="95">
        <f>IFERROR(J23*Mam2_FIRw*Mam2_AUF*Mam2_Pinv/Mam2_BW,"--")</f>
        <v>26171.521051677446</v>
      </c>
      <c r="L23" s="95">
        <f t="shared" si="4"/>
        <v>26182.612119846934</v>
      </c>
      <c r="M23" s="95">
        <f t="shared" si="5"/>
        <v>2.6182612119846932E-2</v>
      </c>
      <c r="N23" s="95">
        <f>VLOOKUP($B23,TRVs_mammals!$B$5:$J$28,2,FALSE)</f>
        <v>0.3</v>
      </c>
      <c r="O23" s="95">
        <f>VLOOKUP($B23,TRVs_mammals!$B$5:$J$28,5,FALSE)</f>
        <v>1</v>
      </c>
      <c r="P23" s="96">
        <f t="shared" si="9"/>
        <v>8.7275373732823111E-2</v>
      </c>
      <c r="Q23" s="96">
        <f t="shared" si="9"/>
        <v>2.6182612119846932E-2</v>
      </c>
      <c r="R23" s="395">
        <f>IF(ISBLANK(VLOOKUP($B23,TRVs_mammals!$B$5:$J$28,8,FALSE)),"--",VLOOKUP($B23,TRVs_mammals!$B$5:$J$28,8,FALSE))</f>
        <v>10</v>
      </c>
      <c r="S23" s="96">
        <f t="shared" si="10"/>
        <v>2.618261211984693E-3</v>
      </c>
      <c r="T23" s="283" t="str">
        <f t="shared" si="11"/>
        <v/>
      </c>
    </row>
    <row r="24" spans="2:28">
      <c r="B24" s="80" t="s">
        <v>37</v>
      </c>
      <c r="C24" s="39">
        <v>1</v>
      </c>
      <c r="D24" s="94">
        <f>S_PFOS</f>
        <v>3000</v>
      </c>
      <c r="E24" s="95">
        <f>IFERROR(D24*$C24*Mam2_fir*Mam2_AUF*Mam2_Pso/Mam2_BW,"--")</f>
        <v>12.962057855961465</v>
      </c>
      <c r="F24" s="95">
        <f>W_PFOS</f>
        <v>10</v>
      </c>
      <c r="G24" s="95">
        <f>IFERROR(F24*Mam2_dwi*Mam2_AUF/Mam2_BW,"--")</f>
        <v>2.23</v>
      </c>
      <c r="H24" s="95">
        <f>VLOOKUP($B24,EPCs!$B$5:$G$28,3,FALSE)</f>
        <v>13800</v>
      </c>
      <c r="I24" s="95">
        <f>IFERROR(H24*Mam2_FIRw*Mam2_AUF*Mam2_Pveg/Mam2_BW,"--")</f>
        <v>303.18084640763021</v>
      </c>
      <c r="J24" s="95">
        <f>VLOOKUP($B24,EPCs!$B$5:$G$28,5,FALSE)</f>
        <v>8</v>
      </c>
      <c r="K24" s="95">
        <f>IFERROR(J24*Mam2_FIRw*Mam2_AUF*Mam2_Pinv/Mam2_BW,"--")</f>
        <v>3.0790024766679349</v>
      </c>
      <c r="L24" s="95">
        <f t="shared" si="4"/>
        <v>321.45190674025963</v>
      </c>
      <c r="M24" s="95">
        <f t="shared" si="5"/>
        <v>3.2145190674025964E-4</v>
      </c>
      <c r="N24" s="95">
        <f>VLOOKUP($B24,TRVs_mammals!$B$5:$J$28,2,FALSE)</f>
        <v>0.1</v>
      </c>
      <c r="O24" s="95">
        <f>VLOOKUP($B24,TRVs_mammals!$B$5:$J$28,5,FALSE)</f>
        <v>0.4</v>
      </c>
      <c r="P24" s="96">
        <f t="shared" si="9"/>
        <v>3.2145190674025964E-3</v>
      </c>
      <c r="Q24" s="96">
        <f t="shared" si="9"/>
        <v>8.036297668506491E-4</v>
      </c>
      <c r="R24" s="395">
        <f>IF(ISBLANK(VLOOKUP($B24,TRVs_mammals!$B$5:$J$28,8,FALSE)),"--",VLOOKUP($B24,TRVs_mammals!$B$5:$J$28,8,FALSE))</f>
        <v>1.6</v>
      </c>
      <c r="S24" s="96">
        <f t="shared" si="10"/>
        <v>2.0090744171266228E-4</v>
      </c>
      <c r="T24" s="283" t="str">
        <f t="shared" si="11"/>
        <v/>
      </c>
    </row>
    <row r="25" spans="2:28">
      <c r="B25" s="80" t="s">
        <v>71</v>
      </c>
      <c r="C25" s="39">
        <v>1</v>
      </c>
      <c r="D25" s="94">
        <f>S_PFDS</f>
        <v>1000</v>
      </c>
      <c r="E25" s="95">
        <f>IFERROR(D25*$C25*Mam2_fir*Mam2_AUF*Mam2_Pso/Mam2_BW,"--")</f>
        <v>4.320685951987155</v>
      </c>
      <c r="F25" s="95">
        <f>W_PFDS</f>
        <v>10</v>
      </c>
      <c r="G25" s="95">
        <f>IFERROR(F25*Mam2_dwi*Mam2_AUF/Mam2_BW,"--")</f>
        <v>2.23</v>
      </c>
      <c r="H25" s="95">
        <f>VLOOKUP($B25,EPCs!$B$5:$G$28,3,FALSE)</f>
        <v>180</v>
      </c>
      <c r="I25" s="95">
        <f>IFERROR(H25*Mam2_FIRw*Mam2_AUF*Mam2_Pveg/Mam2_BW,"--")</f>
        <v>3.9545327792299587</v>
      </c>
      <c r="J25" s="95">
        <f>VLOOKUP($B25,EPCs!$B$5:$G$28,5,FALSE)</f>
        <v>1700.0000000000002</v>
      </c>
      <c r="K25" s="95">
        <f>IFERROR(J25*Mam2_FIRw*Mam2_AUF*Mam2_Pinv/Mam2_BW,"--")</f>
        <v>654.28802629193626</v>
      </c>
      <c r="L25" s="95">
        <f t="shared" si="4"/>
        <v>664.79324502315342</v>
      </c>
      <c r="M25" s="95">
        <f t="shared" si="5"/>
        <v>6.6479324502315346E-4</v>
      </c>
      <c r="N25" s="95" t="str">
        <f>VLOOKUP($B25,TRVs_mammals!$B$5:$J$28,2,FALSE)</f>
        <v>No TRV</v>
      </c>
      <c r="O25" s="95" t="str">
        <f>VLOOKUP($B25,TRVs_mammals!$B$5:$J$28,5,FALSE)</f>
        <v>No TRV</v>
      </c>
      <c r="P25" s="96" t="str">
        <f t="shared" si="9"/>
        <v>--</v>
      </c>
      <c r="Q25" s="96" t="str">
        <f t="shared" si="9"/>
        <v>--</v>
      </c>
      <c r="R25" s="395" t="str">
        <f>IF(ISBLANK(VLOOKUP($B25,TRVs_mammals!$B$5:$J$28,8,FALSE)),"--",VLOOKUP($B25,TRVs_mammals!$B$5:$J$28,8,FALSE))</f>
        <v>--</v>
      </c>
      <c r="S25" s="96" t="str">
        <f t="shared" si="10"/>
        <v>--</v>
      </c>
      <c r="T25" s="283" t="str">
        <f t="shared" si="11"/>
        <v/>
      </c>
    </row>
    <row r="26" spans="2:28">
      <c r="B26" s="202" t="s">
        <v>77</v>
      </c>
      <c r="C26" s="125"/>
      <c r="D26" s="67"/>
      <c r="E26" s="67"/>
      <c r="F26" s="67"/>
      <c r="G26" s="67"/>
      <c r="H26" s="67"/>
      <c r="I26" s="67"/>
      <c r="J26" s="67"/>
      <c r="K26" s="67"/>
      <c r="L26" s="67"/>
      <c r="M26" s="67"/>
      <c r="N26" s="67"/>
      <c r="O26" s="67"/>
      <c r="P26" s="67"/>
      <c r="Q26" s="67"/>
      <c r="R26" s="67"/>
      <c r="S26" s="67"/>
      <c r="T26" s="396"/>
    </row>
    <row r="27" spans="2:28">
      <c r="B27" s="80" t="s">
        <v>72</v>
      </c>
      <c r="C27" s="39">
        <v>1</v>
      </c>
      <c r="D27" s="94">
        <f>S_PFOSA</f>
        <v>1000</v>
      </c>
      <c r="E27" s="95">
        <f>IFERROR(D27*$C27*Mam2_fir*Mam2_AUF*Mam2_Pso/Mam2_BW,"--")</f>
        <v>4.320685951987155</v>
      </c>
      <c r="F27" s="95">
        <f>W_PFOSA</f>
        <v>10</v>
      </c>
      <c r="G27" s="95">
        <f>IFERROR(F27*Mam2_dwi*Mam2_AUF/Mam2_BW,"--")</f>
        <v>2.23</v>
      </c>
      <c r="H27" s="95">
        <f>VLOOKUP($B27,EPCs!$B$5:$G$28,3,FALSE)</f>
        <v>33</v>
      </c>
      <c r="I27" s="95">
        <f>IFERROR(H27*Mam2_FIRw*Mam2_AUF*Mam2_Pveg/Mam2_BW,"--")</f>
        <v>0.72499767619215905</v>
      </c>
      <c r="J27" s="95" t="str">
        <f>VLOOKUP($B27,EPCs!$B$5:$G$28,5,FALSE)</f>
        <v>n/a</v>
      </c>
      <c r="K27" s="95" t="str">
        <f>IFERROR(J27*Mam2_FIRw*Mam2_AUF*Mam2_Pinv/Mam2_BW,"--")</f>
        <v>--</v>
      </c>
      <c r="L27" s="95">
        <f t="shared" si="4"/>
        <v>7.2756836281793147</v>
      </c>
      <c r="M27" s="95">
        <f t="shared" si="5"/>
        <v>7.2756836281793143E-6</v>
      </c>
      <c r="N27" s="95" t="str">
        <f>VLOOKUP($B27,TRVs_mammals!$B$5:$J$28,2,FALSE)</f>
        <v>No TRV</v>
      </c>
      <c r="O27" s="95" t="str">
        <f>VLOOKUP($B27,TRVs_mammals!$B$5:$J$28,5,FALSE)</f>
        <v>No TRV</v>
      </c>
      <c r="P27" s="96" t="str">
        <f t="shared" ref="P27:Q27" si="12">IF(OR($M27=0,ISTEXT(N27)),"--",$M27/N27)</f>
        <v>--</v>
      </c>
      <c r="Q27" s="96" t="str">
        <f t="shared" si="12"/>
        <v>--</v>
      </c>
      <c r="R27" s="395" t="str">
        <f>IF(ISBLANK(VLOOKUP($B27,TRVs_mammals!$B$5:$J$28,8,FALSE)),"--",VLOOKUP($B27,TRVs_mammals!$B$5:$J$28,8,FALSE))</f>
        <v>--</v>
      </c>
      <c r="S27" s="96" t="str">
        <f>IF(OR($M27=0,ISTEXT(R27)),"--",$M27/R27)</f>
        <v>--</v>
      </c>
      <c r="T27" s="283" t="str">
        <f>IF(AND(H27="n/a",ISNUMBER($C$41),$C$41&gt;0),"PU",IF(AND(J27="n/a",ISNUMBER($C$42),$C$42&gt;0),"PU",""))</f>
        <v>PU</v>
      </c>
    </row>
    <row r="28" spans="2:28">
      <c r="B28" s="202" t="s">
        <v>78</v>
      </c>
      <c r="C28" s="125"/>
      <c r="D28" s="67"/>
      <c r="E28" s="67"/>
      <c r="F28" s="67"/>
      <c r="G28" s="67"/>
      <c r="H28" s="67"/>
      <c r="I28" s="67"/>
      <c r="J28" s="67"/>
      <c r="K28" s="67"/>
      <c r="L28" s="67"/>
      <c r="M28" s="67"/>
      <c r="N28" s="67"/>
      <c r="O28" s="67"/>
      <c r="P28" s="67"/>
      <c r="Q28" s="67"/>
      <c r="R28" s="67"/>
      <c r="S28" s="67"/>
      <c r="T28" s="84"/>
    </row>
    <row r="29" spans="2:28">
      <c r="B29" s="80" t="s">
        <v>73</v>
      </c>
      <c r="C29" s="39">
        <v>1</v>
      </c>
      <c r="D29" s="94">
        <f>S_NEtFOSAA</f>
        <v>1000</v>
      </c>
      <c r="E29" s="95">
        <f>IFERROR(D29*$C29*Mam2_fir*Mam2_AUF*Mam2_Pso/Mam2_BW,"--")</f>
        <v>4.320685951987155</v>
      </c>
      <c r="F29" s="95">
        <f>W_NEtFOSAA</f>
        <v>10</v>
      </c>
      <c r="G29" s="95">
        <f>IFERROR(F29*Mam2_dwi*Mam2_AUF/Mam2_BW,"--")</f>
        <v>2.23</v>
      </c>
      <c r="H29" s="95">
        <f>VLOOKUP($B29,EPCs!$B$5:$G$28,3,FALSE)</f>
        <v>10</v>
      </c>
      <c r="I29" s="95">
        <f>IFERROR(H29*Mam2_FIRw*Mam2_AUF*Mam2_Pveg/Mam2_BW,"--")</f>
        <v>0.21969626551277549</v>
      </c>
      <c r="J29" s="95">
        <f>VLOOKUP($B29,EPCs!$B$5:$G$28,5,FALSE)</f>
        <v>45</v>
      </c>
      <c r="K29" s="95">
        <f>IFERROR(J29*Mam2_FIRw*Mam2_AUF*Mam2_Pinv/Mam2_BW,"--")</f>
        <v>17.319388931257134</v>
      </c>
      <c r="L29" s="95">
        <f t="shared" si="4"/>
        <v>24.089771148757066</v>
      </c>
      <c r="M29" s="95">
        <f t="shared" si="5"/>
        <v>2.4089771148757066E-5</v>
      </c>
      <c r="N29" s="95" t="str">
        <f>VLOOKUP($B29,TRVs_mammals!$B$5:$J$28,2,FALSE)</f>
        <v>No TRV</v>
      </c>
      <c r="O29" s="95" t="str">
        <f>VLOOKUP($B29,TRVs_mammals!$B$5:$J$28,5,FALSE)</f>
        <v>No TRV</v>
      </c>
      <c r="P29" s="96" t="str">
        <f t="shared" ref="P29:Q30" si="13">IF(OR($M29=0,ISTEXT(N29)),"--",$M29/N29)</f>
        <v>--</v>
      </c>
      <c r="Q29" s="96" t="str">
        <f t="shared" si="13"/>
        <v>--</v>
      </c>
      <c r="R29" s="395" t="str">
        <f>IF(ISBLANK(VLOOKUP($B29,TRVs_mammals!$B$5:$J$28,8,FALSE)),"--",VLOOKUP($B29,TRVs_mammals!$B$5:$J$28,8,FALSE))</f>
        <v>--</v>
      </c>
      <c r="S29" s="96" t="str">
        <f t="shared" ref="S29:S30" si="14">IF(OR($M29=0,ISTEXT(R29)),"--",$M29/R29)</f>
        <v>--</v>
      </c>
      <c r="T29" s="283" t="str">
        <f t="shared" ref="T29:T30" si="15">IF(AND(H29="n/a",ISNUMBER($C$41),$C$41&gt;0),"PU",IF(AND(J29="n/a",ISNUMBER($C$42),$C$42&gt;0),"PU",""))</f>
        <v/>
      </c>
    </row>
    <row r="30" spans="2:28">
      <c r="B30" s="81" t="s">
        <v>74</v>
      </c>
      <c r="C30" s="39">
        <v>1</v>
      </c>
      <c r="D30" s="94">
        <f>S_NMeFOSAA</f>
        <v>1000</v>
      </c>
      <c r="E30" s="95">
        <f>IFERROR(D30*$C30*Mam2_fir*Mam2_AUF*Mam2_Pso/Mam2_BW,"--")</f>
        <v>4.320685951987155</v>
      </c>
      <c r="F30" s="95">
        <f>W_NMeFOSAA</f>
        <v>10</v>
      </c>
      <c r="G30" s="95">
        <f>IFERROR(F30*Mam2_dwi*Mam2_AUF/Mam2_BW,"--")</f>
        <v>2.23</v>
      </c>
      <c r="H30" s="95" t="str">
        <f>VLOOKUP($B30,EPCs!$B$5:$G$28,3,FALSE)</f>
        <v>n/a</v>
      </c>
      <c r="I30" s="95" t="str">
        <f>IFERROR(H30*Mam2_FIRw*Mam2_AUF*Mam2_Pveg/Mam2_BW,"--")</f>
        <v>--</v>
      </c>
      <c r="J30" s="95" t="str">
        <f>VLOOKUP($B30,EPCs!$B$5:$G$28,5,FALSE)</f>
        <v>n/a</v>
      </c>
      <c r="K30" s="95" t="str">
        <f>IFERROR(J30*Mam2_FIRw*Mam2_AUF*Mam2_Pinv/Mam2_BW,"--")</f>
        <v>--</v>
      </c>
      <c r="L30" s="95">
        <f t="shared" si="4"/>
        <v>6.5506859519871554</v>
      </c>
      <c r="M30" s="95">
        <f t="shared" si="5"/>
        <v>6.5506859519871553E-6</v>
      </c>
      <c r="N30" s="95" t="str">
        <f>VLOOKUP($B30,TRVs_mammals!$B$5:$J$28,2,FALSE)</f>
        <v>No TRV</v>
      </c>
      <c r="O30" s="95" t="str">
        <f>VLOOKUP($B30,TRVs_mammals!$B$5:$J$28,5,FALSE)</f>
        <v>No TRV</v>
      </c>
      <c r="P30" s="96" t="str">
        <f t="shared" si="13"/>
        <v>--</v>
      </c>
      <c r="Q30" s="96" t="str">
        <f t="shared" si="13"/>
        <v>--</v>
      </c>
      <c r="R30" s="395" t="str">
        <f>IF(ISBLANK(VLOOKUP($B30,TRVs_mammals!$B$5:$J$28,8,FALSE)),"--",VLOOKUP($B30,TRVs_mammals!$B$5:$J$28,8,FALSE))</f>
        <v>--</v>
      </c>
      <c r="S30" s="96" t="str">
        <f t="shared" si="14"/>
        <v>--</v>
      </c>
      <c r="T30" s="283" t="str">
        <f t="shared" si="15"/>
        <v>PU</v>
      </c>
    </row>
    <row r="31" spans="2:28" ht="14.4">
      <c r="B31" s="43"/>
      <c r="C31" s="97"/>
      <c r="D31" s="97"/>
      <c r="E31" s="97"/>
      <c r="F31" s="97"/>
      <c r="G31" s="97"/>
      <c r="H31" s="97"/>
      <c r="I31" s="97"/>
      <c r="J31" s="98"/>
      <c r="K31" s="97"/>
      <c r="L31"/>
      <c r="M31"/>
      <c r="N31"/>
      <c r="O31"/>
      <c r="P31"/>
      <c r="Q31"/>
      <c r="R31"/>
      <c r="S31"/>
      <c r="T31"/>
      <c r="U31"/>
      <c r="V31"/>
      <c r="W31"/>
      <c r="X31"/>
      <c r="Y31"/>
    </row>
    <row r="32" spans="2:28">
      <c r="B32" s="31" t="s">
        <v>1</v>
      </c>
      <c r="C32" s="18"/>
      <c r="E32" s="99"/>
      <c r="F32" s="99"/>
      <c r="G32" s="99"/>
      <c r="H32" s="99"/>
      <c r="I32" s="99"/>
      <c r="K32" s="100"/>
      <c r="L32" s="100"/>
      <c r="M32" s="100"/>
      <c r="N32" s="100"/>
      <c r="O32" s="100"/>
      <c r="P32" s="100"/>
      <c r="Q32" s="100"/>
      <c r="R32" s="100"/>
      <c r="S32" s="100"/>
      <c r="T32" s="100"/>
      <c r="U32" s="100"/>
      <c r="V32" s="100"/>
      <c r="W32" s="100"/>
      <c r="X32" s="100"/>
      <c r="Y32" s="100"/>
      <c r="Z32" s="100"/>
      <c r="AA32" s="100"/>
      <c r="AB32" s="100"/>
    </row>
    <row r="33" spans="2:28">
      <c r="B33" s="234" t="s">
        <v>373</v>
      </c>
      <c r="C33" s="18"/>
      <c r="E33" s="103"/>
      <c r="F33" s="103"/>
      <c r="G33" s="103"/>
      <c r="H33" s="103"/>
      <c r="I33" s="103"/>
      <c r="J33" s="103"/>
      <c r="K33" s="101"/>
      <c r="L33" s="101"/>
      <c r="M33" s="101"/>
      <c r="N33" s="101"/>
      <c r="O33" s="101"/>
      <c r="X33" s="102"/>
    </row>
    <row r="34" spans="2:28">
      <c r="B34" s="234"/>
      <c r="C34" s="18"/>
      <c r="E34" s="103"/>
      <c r="F34" s="103"/>
      <c r="G34" s="103"/>
      <c r="H34" s="103"/>
      <c r="I34" s="103"/>
      <c r="J34" s="103"/>
      <c r="K34" s="101"/>
      <c r="L34" s="101"/>
      <c r="M34" s="101"/>
      <c r="N34" s="101"/>
      <c r="O34" s="101"/>
      <c r="X34" s="102"/>
    </row>
    <row r="35" spans="2:28" s="292" customFormat="1" ht="15.6">
      <c r="B35" s="289" t="s">
        <v>376</v>
      </c>
      <c r="C35" s="290"/>
      <c r="D35" s="290"/>
      <c r="E35" s="290"/>
      <c r="F35" s="290"/>
      <c r="G35" s="290"/>
      <c r="H35" s="290"/>
      <c r="I35" s="290"/>
      <c r="J35" s="290"/>
      <c r="K35" s="290"/>
      <c r="L35" s="291"/>
      <c r="M35" s="291"/>
      <c r="N35" s="291"/>
      <c r="O35" s="291"/>
      <c r="P35" s="290"/>
      <c r="Q35" s="290"/>
      <c r="R35" s="290"/>
      <c r="S35" s="290"/>
      <c r="T35" s="290"/>
      <c r="U35" s="290"/>
      <c r="V35" s="290"/>
      <c r="W35" s="290"/>
      <c r="X35" s="290"/>
      <c r="Y35" s="290"/>
      <c r="Z35" s="290"/>
      <c r="AA35" s="290"/>
      <c r="AB35" s="290"/>
    </row>
    <row r="36" spans="2:28">
      <c r="B36" s="236"/>
      <c r="C36" s="105"/>
      <c r="D36" s="222"/>
      <c r="E36" s="105"/>
      <c r="F36" s="105"/>
      <c r="G36" s="105"/>
      <c r="H36" s="105"/>
      <c r="I36" s="105"/>
      <c r="J36" s="105"/>
      <c r="K36" s="105"/>
      <c r="L36" s="101"/>
      <c r="M36" s="101"/>
      <c r="N36" s="101"/>
      <c r="O36" s="101"/>
      <c r="P36" s="222"/>
      <c r="Q36" s="222"/>
      <c r="R36" s="222"/>
      <c r="S36" s="222"/>
      <c r="T36" s="222"/>
      <c r="U36" s="222"/>
      <c r="V36" s="222"/>
      <c r="W36" s="222"/>
      <c r="X36" s="222"/>
      <c r="Y36" s="222"/>
      <c r="Z36" s="222"/>
      <c r="AA36" s="222"/>
      <c r="AB36" s="222"/>
    </row>
    <row r="37" spans="2:28">
      <c r="B37" s="405" t="s">
        <v>191</v>
      </c>
      <c r="C37" s="295" t="s">
        <v>53</v>
      </c>
      <c r="D37" s="294" t="s">
        <v>2</v>
      </c>
      <c r="E37" s="296" t="s">
        <v>51</v>
      </c>
      <c r="H37" s="143"/>
      <c r="I37" s="143"/>
      <c r="J37" s="141"/>
      <c r="K37" s="141"/>
      <c r="M37" s="103"/>
      <c r="N37" s="101"/>
      <c r="P37" s="101"/>
      <c r="Q37" s="101"/>
      <c r="R37" s="101"/>
    </row>
    <row r="38" spans="2:28" ht="15.6">
      <c r="B38" s="406" t="s">
        <v>159</v>
      </c>
      <c r="C38" s="491" t="s">
        <v>136</v>
      </c>
      <c r="D38" s="105" t="s">
        <v>18</v>
      </c>
      <c r="E38" s="101" t="s">
        <v>160</v>
      </c>
      <c r="H38" s="140"/>
      <c r="I38" s="140"/>
      <c r="J38" s="142"/>
      <c r="K38" s="141"/>
      <c r="M38" s="103"/>
      <c r="N38" s="101"/>
      <c r="P38" s="101"/>
      <c r="Q38" s="101"/>
      <c r="R38" s="101"/>
    </row>
    <row r="39" spans="2:28" ht="15.6">
      <c r="B39" s="407" t="s">
        <v>161</v>
      </c>
      <c r="C39" s="491"/>
      <c r="D39" s="139" t="s">
        <v>192</v>
      </c>
      <c r="E39" s="101" t="s">
        <v>42</v>
      </c>
      <c r="H39" s="140"/>
      <c r="I39" s="140"/>
      <c r="J39" s="142"/>
      <c r="K39" s="141"/>
      <c r="M39" s="103"/>
      <c r="N39" s="101"/>
      <c r="P39" s="101"/>
      <c r="Q39" s="101"/>
      <c r="R39" s="101"/>
    </row>
    <row r="40" spans="2:28">
      <c r="B40" s="406" t="s">
        <v>17</v>
      </c>
      <c r="C40" s="491"/>
      <c r="D40" s="105" t="s">
        <v>19</v>
      </c>
      <c r="E40" s="234" t="s">
        <v>375</v>
      </c>
      <c r="H40" s="240"/>
      <c r="I40" s="240"/>
      <c r="J40" s="142"/>
      <c r="K40" s="141"/>
      <c r="M40" s="106"/>
      <c r="N40" s="101"/>
      <c r="P40" s="101"/>
      <c r="Q40" s="101"/>
      <c r="R40" s="101"/>
    </row>
    <row r="41" spans="2:28" ht="15.6">
      <c r="B41" s="407" t="s">
        <v>92</v>
      </c>
      <c r="C41" s="281">
        <f>Mam2_Pveg</f>
        <v>5.3999999999999999E-2</v>
      </c>
      <c r="D41" s="105" t="s">
        <v>15</v>
      </c>
      <c r="E41" s="101" t="s">
        <v>20</v>
      </c>
      <c r="H41" s="140"/>
      <c r="I41" s="140"/>
      <c r="J41" s="142"/>
      <c r="K41" s="141"/>
      <c r="M41" s="103"/>
      <c r="N41" s="103"/>
      <c r="O41" s="103"/>
    </row>
    <row r="42" spans="2:28" ht="15.6">
      <c r="B42" s="408" t="s">
        <v>308</v>
      </c>
      <c r="C42" s="281">
        <f>Mam2_Pinv</f>
        <v>0.94599999999999995</v>
      </c>
      <c r="D42" s="105" t="s">
        <v>15</v>
      </c>
      <c r="E42" s="238" t="s">
        <v>469</v>
      </c>
      <c r="H42" s="239"/>
      <c r="I42" s="239"/>
      <c r="J42" s="142"/>
      <c r="K42" s="141"/>
      <c r="M42" s="103"/>
      <c r="N42" s="103"/>
    </row>
    <row r="43" spans="2:28" ht="15.6">
      <c r="B43" s="407" t="s">
        <v>93</v>
      </c>
      <c r="C43" s="281">
        <f>Mam2_Pso</f>
        <v>2.4E-2</v>
      </c>
      <c r="D43" s="105" t="s">
        <v>15</v>
      </c>
      <c r="E43" s="238" t="s">
        <v>384</v>
      </c>
      <c r="H43" s="239"/>
      <c r="I43" s="239"/>
      <c r="J43" s="142"/>
      <c r="K43" s="140"/>
      <c r="M43" s="101"/>
      <c r="N43" s="103"/>
    </row>
    <row r="44" spans="2:28" ht="15.6">
      <c r="B44" s="407" t="s">
        <v>133</v>
      </c>
      <c r="C44" s="144">
        <f>Mam2_fir</f>
        <v>2.7004287199919718E-3</v>
      </c>
      <c r="D44" s="105" t="s">
        <v>21</v>
      </c>
      <c r="E44" s="360" t="s">
        <v>525</v>
      </c>
      <c r="F44" s="24"/>
      <c r="G44" s="24"/>
      <c r="H44" s="140"/>
      <c r="I44" s="239"/>
      <c r="J44" s="142"/>
      <c r="K44" s="140"/>
      <c r="M44" s="101"/>
      <c r="N44" s="103"/>
    </row>
    <row r="45" spans="2:28" ht="15.6">
      <c r="B45" s="407" t="s">
        <v>132</v>
      </c>
      <c r="C45" s="144">
        <f>Mam2_FIRw</f>
        <v>6.1026740420215414E-3</v>
      </c>
      <c r="D45" s="105" t="s">
        <v>21</v>
      </c>
      <c r="E45" s="101" t="s">
        <v>267</v>
      </c>
      <c r="H45" s="140"/>
      <c r="I45" s="140"/>
      <c r="J45" s="142"/>
      <c r="K45" s="140"/>
      <c r="M45" s="101"/>
      <c r="N45" s="103"/>
    </row>
    <row r="46" spans="2:28">
      <c r="B46" s="407" t="s">
        <v>14</v>
      </c>
      <c r="C46" s="281">
        <f>Mam2_AUF</f>
        <v>1</v>
      </c>
      <c r="D46" s="105" t="s">
        <v>15</v>
      </c>
      <c r="E46" s="101" t="s">
        <v>25</v>
      </c>
      <c r="H46" s="140"/>
      <c r="I46" s="140"/>
      <c r="J46" s="142"/>
      <c r="K46" s="141"/>
      <c r="M46" s="103"/>
      <c r="N46" s="103"/>
    </row>
    <row r="47" spans="2:28">
      <c r="B47" s="407" t="s">
        <v>5</v>
      </c>
      <c r="C47" s="281">
        <f>Mam2_BW</f>
        <v>1.4999999999999999E-2</v>
      </c>
      <c r="D47" s="105" t="s">
        <v>26</v>
      </c>
      <c r="E47" s="101" t="s">
        <v>6</v>
      </c>
      <c r="H47" s="140"/>
      <c r="I47" s="140"/>
      <c r="J47" s="142"/>
      <c r="K47" s="141"/>
      <c r="M47" s="103"/>
      <c r="N47" s="103"/>
    </row>
    <row r="48" spans="2:28" ht="14.4">
      <c r="B48" s="407" t="s">
        <v>388</v>
      </c>
      <c r="C48" s="279">
        <f>Mam2_dwi</f>
        <v>3.3449999999999999E-3</v>
      </c>
      <c r="D48" s="267" t="s">
        <v>390</v>
      </c>
      <c r="E48" s="433" t="s">
        <v>389</v>
      </c>
      <c r="H48" s="256"/>
      <c r="I48" s="256"/>
      <c r="K48" s="103"/>
      <c r="P48" s="103"/>
    </row>
    <row r="49" spans="2:20" ht="14.4">
      <c r="B49" s="297"/>
      <c r="C49" s="279"/>
      <c r="D49" s="267"/>
      <c r="E49" s="256"/>
      <c r="H49" s="256"/>
      <c r="I49" s="256"/>
      <c r="K49" s="103"/>
      <c r="P49" s="103"/>
    </row>
    <row r="50" spans="2:20">
      <c r="B50" s="238" t="s">
        <v>383</v>
      </c>
      <c r="C50" s="101"/>
      <c r="D50" s="103"/>
      <c r="I50" s="103"/>
      <c r="J50" s="103"/>
    </row>
    <row r="51" spans="2:20">
      <c r="B51" s="487" t="s">
        <v>460</v>
      </c>
      <c r="C51" s="487"/>
      <c r="D51" s="487"/>
      <c r="E51" s="487"/>
      <c r="F51" s="487"/>
      <c r="G51" s="487"/>
      <c r="H51" s="487"/>
      <c r="I51" s="487"/>
      <c r="J51" s="487"/>
      <c r="K51" s="487"/>
      <c r="L51" s="487"/>
      <c r="M51" s="487"/>
      <c r="N51" s="487"/>
      <c r="O51" s="487"/>
      <c r="P51" s="487"/>
      <c r="Q51" s="487"/>
      <c r="R51" s="487"/>
      <c r="S51" s="487"/>
      <c r="T51" s="487"/>
    </row>
    <row r="52" spans="2:20">
      <c r="B52" s="487"/>
      <c r="C52" s="487"/>
      <c r="D52" s="487"/>
      <c r="E52" s="487"/>
      <c r="F52" s="487"/>
      <c r="G52" s="487"/>
      <c r="H52" s="487"/>
      <c r="I52" s="487"/>
      <c r="J52" s="487"/>
      <c r="K52" s="487"/>
      <c r="L52" s="487"/>
      <c r="M52" s="487"/>
      <c r="N52" s="487"/>
      <c r="O52" s="487"/>
      <c r="P52" s="487"/>
      <c r="Q52" s="487"/>
      <c r="R52" s="487"/>
      <c r="S52" s="487"/>
      <c r="T52" s="487"/>
    </row>
    <row r="53" spans="2:20">
      <c r="B53" s="284"/>
      <c r="C53" s="284"/>
      <c r="D53" s="284"/>
      <c r="E53" s="284"/>
      <c r="F53" s="284"/>
      <c r="G53" s="284"/>
      <c r="H53" s="284"/>
      <c r="I53" s="284"/>
      <c r="J53" s="284"/>
      <c r="K53" s="284"/>
      <c r="L53" s="284"/>
      <c r="M53" s="284"/>
      <c r="N53" s="284"/>
      <c r="O53" s="284"/>
      <c r="P53" s="284"/>
      <c r="Q53" s="284"/>
      <c r="R53" s="284"/>
      <c r="S53" s="284"/>
      <c r="T53" s="284"/>
    </row>
    <row r="54" spans="2:20">
      <c r="B54" s="31" t="s">
        <v>22</v>
      </c>
    </row>
    <row r="55" spans="2:20">
      <c r="B55" s="16" t="s">
        <v>45</v>
      </c>
      <c r="C55" s="14" t="s">
        <v>296</v>
      </c>
    </row>
    <row r="56" spans="2:20">
      <c r="B56" s="16" t="s">
        <v>47</v>
      </c>
      <c r="C56" s="206" t="s">
        <v>298</v>
      </c>
    </row>
    <row r="57" spans="2:20">
      <c r="B57" s="13" t="s">
        <v>259</v>
      </c>
      <c r="C57" s="14" t="s">
        <v>294</v>
      </c>
    </row>
    <row r="58" spans="2:20">
      <c r="B58" s="13" t="s">
        <v>261</v>
      </c>
      <c r="C58" s="14" t="s">
        <v>295</v>
      </c>
    </row>
    <row r="59" spans="2:20">
      <c r="B59" s="14" t="s">
        <v>223</v>
      </c>
    </row>
    <row r="60" spans="2:20">
      <c r="B60" s="159" t="s">
        <v>50</v>
      </c>
    </row>
  </sheetData>
  <mergeCells count="17">
    <mergeCell ref="F6:G6"/>
    <mergeCell ref="H6:I6"/>
    <mergeCell ref="B51:T52"/>
    <mergeCell ref="C38:C40"/>
    <mergeCell ref="O6:O7"/>
    <mergeCell ref="T6:T7"/>
    <mergeCell ref="S6:S7"/>
    <mergeCell ref="L6:L7"/>
    <mergeCell ref="M6:M7"/>
    <mergeCell ref="N6:N7"/>
    <mergeCell ref="R6:R7"/>
    <mergeCell ref="P6:P7"/>
    <mergeCell ref="Q6:Q7"/>
    <mergeCell ref="B6:B8"/>
    <mergeCell ref="C6:C8"/>
    <mergeCell ref="D6:E6"/>
    <mergeCell ref="J6:K6"/>
  </mergeCells>
  <conditionalFormatting sqref="F7:F20 F22:F25 F27 F29:F30">
    <cfRule type="expression" dxfId="88" priority="55">
      <formula>ISBLANK(surface_water)</formula>
    </cfRule>
  </conditionalFormatting>
  <conditionalFormatting sqref="G7:G20 G22:G25 G27 G29:G30">
    <cfRule type="expression" dxfId="87" priority="54">
      <formula>ISBLANK(surface_water)</formula>
    </cfRule>
  </conditionalFormatting>
  <conditionalFormatting sqref="F6:G6">
    <cfRule type="expression" dxfId="86" priority="53">
      <formula>ISBLANK(surface_water)</formula>
    </cfRule>
  </conditionalFormatting>
  <conditionalFormatting sqref="H48:I49 C49:E49 C48:D48">
    <cfRule type="expression" dxfId="85" priority="52">
      <formula>ISBLANK(surface_water)</formula>
    </cfRule>
  </conditionalFormatting>
  <conditionalFormatting sqref="F21">
    <cfRule type="expression" dxfId="84" priority="34">
      <formula>ISBLANK(surface_water)</formula>
    </cfRule>
  </conditionalFormatting>
  <conditionalFormatting sqref="G21">
    <cfRule type="expression" dxfId="83" priority="33">
      <formula>ISBLANK(surface_water)</formula>
    </cfRule>
  </conditionalFormatting>
  <conditionalFormatting sqref="F26">
    <cfRule type="expression" dxfId="82" priority="31">
      <formula>ISBLANK(surface_water)</formula>
    </cfRule>
  </conditionalFormatting>
  <conditionalFormatting sqref="G26">
    <cfRule type="expression" dxfId="81" priority="30">
      <formula>ISBLANK(surface_water)</formula>
    </cfRule>
  </conditionalFormatting>
  <conditionalFormatting sqref="F28">
    <cfRule type="expression" dxfId="80" priority="28">
      <formula>ISBLANK(surface_water)</formula>
    </cfRule>
  </conditionalFormatting>
  <conditionalFormatting sqref="G28">
    <cfRule type="expression" dxfId="79" priority="27">
      <formula>ISBLANK(surface_water)</formula>
    </cfRule>
  </conditionalFormatting>
  <conditionalFormatting sqref="E48">
    <cfRule type="expression" dxfId="78" priority="26">
      <formula>ISBLANK(surface_water)</formula>
    </cfRule>
  </conditionalFormatting>
  <conditionalFormatting sqref="D10:O30 R10:R30 T10:T30">
    <cfRule type="cellIs" dxfId="77" priority="25" operator="equal">
      <formula>0</formula>
    </cfRule>
  </conditionalFormatting>
  <conditionalFormatting sqref="P10:Q20">
    <cfRule type="expression" dxfId="76" priority="24">
      <formula>AND(ISNUMBER(P10),P10&gt;1)</formula>
    </cfRule>
  </conditionalFormatting>
  <conditionalFormatting sqref="Q10:Q20">
    <cfRule type="expression" dxfId="75" priority="23">
      <formula>AND(ISNUMBER(Q10),Q10&gt;1)</formula>
    </cfRule>
  </conditionalFormatting>
  <conditionalFormatting sqref="P12:P20 P22:P25 P27 P29:P30">
    <cfRule type="expression" dxfId="74" priority="22">
      <formula>AND(ISNUMBER(P12),P12&gt;1)</formula>
    </cfRule>
  </conditionalFormatting>
  <conditionalFormatting sqref="Q12:Q20 Q22:Q25 Q27 Q29:Q30">
    <cfRule type="expression" dxfId="73" priority="21">
      <formula>AND(ISNUMBER(Q12),Q12&gt;1)</formula>
    </cfRule>
  </conditionalFormatting>
  <conditionalFormatting sqref="P10:Q30">
    <cfRule type="expression" dxfId="72" priority="20">
      <formula>"$P$10:$Q$30,&gt;1)"</formula>
    </cfRule>
  </conditionalFormatting>
  <conditionalFormatting sqref="P11">
    <cfRule type="expression" dxfId="71" priority="19">
      <formula>AND(ISNUMBER(P11),P11&gt;1)</formula>
    </cfRule>
  </conditionalFormatting>
  <conditionalFormatting sqref="Q11">
    <cfRule type="expression" dxfId="70" priority="18">
      <formula>AND(ISNUMBER(Q11),Q11&gt;1)</formula>
    </cfRule>
  </conditionalFormatting>
  <conditionalFormatting sqref="P11:Q11">
    <cfRule type="expression" dxfId="69" priority="17">
      <formula>"$P$10:$Q$30,&gt;1)"</formula>
    </cfRule>
  </conditionalFormatting>
  <conditionalFormatting sqref="P10:Q30">
    <cfRule type="cellIs" dxfId="68" priority="16" operator="equal">
      <formula>0</formula>
    </cfRule>
  </conditionalFormatting>
  <conditionalFormatting sqref="P22:Q25">
    <cfRule type="expression" dxfId="67" priority="15">
      <formula>AND(ISNUMBER(P22),P22&gt;1)</formula>
    </cfRule>
  </conditionalFormatting>
  <conditionalFormatting sqref="Q22:Q25">
    <cfRule type="expression" dxfId="66" priority="14">
      <formula>AND(ISNUMBER(Q22),Q22&gt;1)</formula>
    </cfRule>
  </conditionalFormatting>
  <conditionalFormatting sqref="P27:Q27">
    <cfRule type="expression" dxfId="65" priority="13">
      <formula>AND(ISNUMBER(P27),P27&gt;1)</formula>
    </cfRule>
  </conditionalFormatting>
  <conditionalFormatting sqref="Q27">
    <cfRule type="expression" dxfId="64" priority="12">
      <formula>AND(ISNUMBER(Q27),Q27&gt;1)</formula>
    </cfRule>
  </conditionalFormatting>
  <conditionalFormatting sqref="P29:Q30">
    <cfRule type="expression" dxfId="63" priority="11">
      <formula>AND(ISNUMBER(P29),P29&gt;1)</formula>
    </cfRule>
  </conditionalFormatting>
  <conditionalFormatting sqref="Q29:Q30">
    <cfRule type="expression" dxfId="62" priority="10">
      <formula>AND(ISNUMBER(Q29),Q29&gt;1)</formula>
    </cfRule>
  </conditionalFormatting>
  <conditionalFormatting sqref="S10:S30">
    <cfRule type="cellIs" dxfId="61" priority="9" operator="equal">
      <formula>0</formula>
    </cfRule>
  </conditionalFormatting>
  <conditionalFormatting sqref="S10:S20">
    <cfRule type="expression" dxfId="60" priority="8">
      <formula>AND(ISNUMBER(S10),S10&gt;1)</formula>
    </cfRule>
  </conditionalFormatting>
  <conditionalFormatting sqref="S10:S20">
    <cfRule type="expression" dxfId="59" priority="7">
      <formula>"$P$10:$Q$30,&gt;1)"</formula>
    </cfRule>
  </conditionalFormatting>
  <conditionalFormatting sqref="S22:S25">
    <cfRule type="expression" dxfId="58" priority="6">
      <formula>AND(ISNUMBER(S22),S22&gt;1)</formula>
    </cfRule>
  </conditionalFormatting>
  <conditionalFormatting sqref="S22:S25">
    <cfRule type="expression" dxfId="57" priority="5">
      <formula>"$P$10:$Q$30,&gt;1)"</formula>
    </cfRule>
  </conditionalFormatting>
  <conditionalFormatting sqref="S27">
    <cfRule type="expression" dxfId="56" priority="4">
      <formula>AND(ISNUMBER(S27),S27&gt;1)</formula>
    </cfRule>
  </conditionalFormatting>
  <conditionalFormatting sqref="S27">
    <cfRule type="expression" dxfId="55" priority="3">
      <formula>"$P$10:$Q$30,&gt;1)"</formula>
    </cfRule>
  </conditionalFormatting>
  <conditionalFormatting sqref="S29:S30">
    <cfRule type="expression" dxfId="54" priority="2">
      <formula>AND(ISNUMBER(S29),S29&gt;1)</formula>
    </cfRule>
  </conditionalFormatting>
  <conditionalFormatting sqref="S29:S30">
    <cfRule type="expression" dxfId="53" priority="1">
      <formula>"$P$10:$Q$30,&gt;1)"</formula>
    </cfRule>
  </conditionalFormatting>
  <pageMargins left="0.7" right="0.7" top="0.75" bottom="0.75" header="0.3" footer="0.3"/>
  <pageSetup paperSize="119" scale="22" orientation="landscape" verticalDpi="1200" r:id="rId1"/>
  <headerFooter>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4FBD9-1340-4208-80FE-BC72C09E9F88}">
  <sheetPr>
    <tabColor rgb="FFFFFFCC"/>
    <pageSetUpPr fitToPage="1"/>
  </sheetPr>
  <dimension ref="B2:Z60"/>
  <sheetViews>
    <sheetView view="pageBreakPreview" zoomScale="85" zoomScaleNormal="100" zoomScaleSheetLayoutView="85" zoomScalePageLayoutView="55" workbookViewId="0">
      <selection activeCell="B6" sqref="B6:B8"/>
    </sheetView>
  </sheetViews>
  <sheetFormatPr defaultColWidth="9.21875" defaultRowHeight="13.2" outlineLevelCol="1"/>
  <cols>
    <col min="1" max="1" width="1.77734375" style="14" customWidth="1"/>
    <col min="2" max="2" width="25.21875" style="14" customWidth="1"/>
    <col min="3" max="3" width="9" style="14" customWidth="1"/>
    <col min="4" max="5" width="10.77734375" style="14" customWidth="1"/>
    <col min="6" max="7" width="10.77734375" style="14" customWidth="1" outlineLevel="1"/>
    <col min="8" max="8" width="10.77734375" style="14" customWidth="1"/>
    <col min="9" max="9" width="12.44140625" style="14" customWidth="1"/>
    <col min="10" max="10" width="11" style="14" customWidth="1"/>
    <col min="11" max="11" width="12.44140625" style="14" customWidth="1"/>
    <col min="12" max="12" width="11" style="14" customWidth="1"/>
    <col min="13" max="14" width="12.44140625" style="14" customWidth="1"/>
    <col min="15" max="16" width="11" style="14" customWidth="1"/>
    <col min="17" max="17" width="11.21875" style="14" customWidth="1"/>
    <col min="18" max="19" width="14.21875" style="14" customWidth="1" outlineLevel="1"/>
    <col min="20" max="20" width="14.21875" style="14" customWidth="1"/>
    <col min="21" max="23" width="11" style="14" customWidth="1"/>
    <col min="24" max="24" width="12.77734375" style="14" customWidth="1"/>
    <col min="25" max="25" width="14.21875" style="14" customWidth="1"/>
    <col min="26" max="26" width="14" style="14" bestFit="1" customWidth="1"/>
    <col min="27" max="27" width="3" style="14" customWidth="1"/>
    <col min="28" max="16384" width="9.21875" style="14"/>
  </cols>
  <sheetData>
    <row r="2" spans="2:20">
      <c r="B2" s="34" t="str">
        <f>Site</f>
        <v>Test Site #1</v>
      </c>
      <c r="C2" s="15"/>
    </row>
    <row r="3" spans="2:20">
      <c r="B3" s="50" t="str">
        <f>Title13</f>
        <v>Table 13: Exposure Assessment and Hazard Characterization</v>
      </c>
      <c r="C3" s="15"/>
      <c r="E3" s="19"/>
      <c r="F3" s="19"/>
      <c r="G3" s="19"/>
      <c r="H3" s="19"/>
    </row>
    <row r="4" spans="2:20">
      <c r="B4" s="15" t="s">
        <v>28</v>
      </c>
      <c r="C4" s="196" t="str">
        <f>Mam_3</f>
        <v>Anastasia Beach Deermouse (T&amp;E)</v>
      </c>
      <c r="J4" s="15"/>
      <c r="K4" s="15"/>
      <c r="L4" s="15"/>
      <c r="M4" s="15"/>
      <c r="N4" s="15"/>
      <c r="O4" s="15"/>
      <c r="P4" s="15"/>
      <c r="Q4" s="15"/>
      <c r="R4" s="15"/>
    </row>
    <row r="5" spans="2:20">
      <c r="B5" s="15"/>
      <c r="C5" s="93"/>
      <c r="J5" s="15"/>
      <c r="K5" s="15"/>
      <c r="L5" s="15"/>
      <c r="M5" s="15"/>
      <c r="N5" s="15"/>
      <c r="O5" s="15"/>
      <c r="P5" s="15"/>
      <c r="Q5" s="15"/>
      <c r="R5" s="15"/>
    </row>
    <row r="6" spans="2:20" ht="23.25" customHeight="1">
      <c r="B6" s="492" t="s">
        <v>52</v>
      </c>
      <c r="C6" s="495" t="s">
        <v>17</v>
      </c>
      <c r="D6" s="496" t="s">
        <v>369</v>
      </c>
      <c r="E6" s="490"/>
      <c r="F6" s="490" t="s">
        <v>432</v>
      </c>
      <c r="G6" s="490"/>
      <c r="H6" s="490" t="s">
        <v>370</v>
      </c>
      <c r="I6" s="490"/>
      <c r="J6" s="490" t="s">
        <v>371</v>
      </c>
      <c r="K6" s="490"/>
      <c r="L6" s="486" t="s">
        <v>374</v>
      </c>
      <c r="M6" s="486" t="s">
        <v>374</v>
      </c>
      <c r="N6" s="486" t="s">
        <v>465</v>
      </c>
      <c r="O6" s="486" t="s">
        <v>464</v>
      </c>
      <c r="P6" s="486" t="s">
        <v>380</v>
      </c>
      <c r="Q6" s="486" t="s">
        <v>381</v>
      </c>
      <c r="R6" s="486" t="s">
        <v>463</v>
      </c>
      <c r="S6" s="486" t="s">
        <v>462</v>
      </c>
      <c r="T6" s="486" t="s">
        <v>466</v>
      </c>
    </row>
    <row r="7" spans="2:20" ht="15.6">
      <c r="B7" s="493"/>
      <c r="C7" s="495"/>
      <c r="D7" s="134" t="s">
        <v>190</v>
      </c>
      <c r="E7" s="135" t="s">
        <v>156</v>
      </c>
      <c r="F7" s="134" t="s">
        <v>190</v>
      </c>
      <c r="G7" s="265" t="s">
        <v>452</v>
      </c>
      <c r="H7" s="134" t="s">
        <v>190</v>
      </c>
      <c r="I7" s="135" t="s">
        <v>157</v>
      </c>
      <c r="J7" s="134" t="s">
        <v>190</v>
      </c>
      <c r="K7" s="265" t="s">
        <v>450</v>
      </c>
      <c r="L7" s="486"/>
      <c r="M7" s="486"/>
      <c r="N7" s="486"/>
      <c r="O7" s="486"/>
      <c r="P7" s="486"/>
      <c r="Q7" s="486"/>
      <c r="R7" s="486"/>
      <c r="S7" s="486"/>
      <c r="T7" s="486"/>
    </row>
    <row r="8" spans="2:20">
      <c r="B8" s="494"/>
      <c r="C8" s="495"/>
      <c r="D8" s="136" t="s">
        <v>91</v>
      </c>
      <c r="E8" s="137" t="s">
        <v>134</v>
      </c>
      <c r="F8" s="266" t="s">
        <v>451</v>
      </c>
      <c r="G8" s="137" t="s">
        <v>134</v>
      </c>
      <c r="H8" s="136" t="s">
        <v>131</v>
      </c>
      <c r="I8" s="137" t="s">
        <v>134</v>
      </c>
      <c r="J8" s="136" t="s">
        <v>131</v>
      </c>
      <c r="K8" s="137" t="s">
        <v>134</v>
      </c>
      <c r="L8" s="137" t="s">
        <v>134</v>
      </c>
      <c r="M8" s="137" t="s">
        <v>18</v>
      </c>
      <c r="N8" s="137" t="s">
        <v>18</v>
      </c>
      <c r="O8" s="137" t="s">
        <v>18</v>
      </c>
      <c r="P8" s="137" t="s">
        <v>19</v>
      </c>
      <c r="Q8" s="138" t="s">
        <v>19</v>
      </c>
      <c r="R8" s="137" t="s">
        <v>18</v>
      </c>
      <c r="S8" s="137" t="s">
        <v>19</v>
      </c>
      <c r="T8" s="137"/>
    </row>
    <row r="9" spans="2:20">
      <c r="B9" s="82" t="s">
        <v>75</v>
      </c>
      <c r="C9" s="67"/>
      <c r="D9" s="67"/>
      <c r="E9" s="67"/>
      <c r="F9" s="67"/>
      <c r="G9" s="67"/>
      <c r="H9" s="67"/>
      <c r="I9" s="67"/>
      <c r="J9" s="67"/>
      <c r="K9" s="67"/>
      <c r="L9" s="67"/>
      <c r="M9" s="67"/>
      <c r="N9" s="67"/>
      <c r="O9" s="67"/>
      <c r="P9" s="67"/>
      <c r="Q9" s="67"/>
      <c r="R9" s="67"/>
      <c r="S9" s="67"/>
      <c r="T9" s="84"/>
    </row>
    <row r="10" spans="2:20">
      <c r="B10" s="79" t="s">
        <v>59</v>
      </c>
      <c r="C10" s="39">
        <v>1</v>
      </c>
      <c r="D10" s="94">
        <f>S_PFBA</f>
        <v>1000</v>
      </c>
      <c r="E10" s="95">
        <f t="shared" ref="E10:E20" si="0">IFERROR(D10*$C10*Mam3_fir*Mam3_AUF*Mam3_Pso/mam3_bw,"--")</f>
        <v>3.0128945301201222</v>
      </c>
      <c r="F10" s="95">
        <f>W_PFBA</f>
        <v>10</v>
      </c>
      <c r="G10" s="95">
        <f t="shared" ref="G10:G20" si="1">IFERROR(F10*Mam3_dwi*Mam3_AUF/mam3_bw,"--")</f>
        <v>1.9000000000000001</v>
      </c>
      <c r="H10" s="95">
        <f>VLOOKUP($B10,EPCs!$B$5:$G$28,3,FALSE)</f>
        <v>22000</v>
      </c>
      <c r="I10" s="95">
        <f t="shared" ref="I10:I20" si="2">IFERROR(H10*Mam3_FIRw*Mam3_AUF*Mam3_Pveg/mam3_bw,"--")</f>
        <v>6432.3860005618881</v>
      </c>
      <c r="J10" s="95" t="str">
        <f>VLOOKUP($B10,EPCs!$B$5:$G$28,5,FALSE)</f>
        <v>n/a</v>
      </c>
      <c r="K10" s="95" t="str">
        <f t="shared" ref="K10:K20" si="3">IFERROR(J10*Mam3_FIRw*Mam3_AUF*Mam3_Pinv/mam3_bw,"--")</f>
        <v>--</v>
      </c>
      <c r="L10" s="95">
        <f>SUM(E10,G10,I10,K10)</f>
        <v>6437.298895092008</v>
      </c>
      <c r="M10" s="95">
        <f>L10/10^6</f>
        <v>6.4372988950920076E-3</v>
      </c>
      <c r="N10" s="95">
        <f>VLOOKUP($B10,TRVs_mammals!$B$5:$J$28,2,FALSE)</f>
        <v>30</v>
      </c>
      <c r="O10" s="95" t="str">
        <f>VLOOKUP($B10,TRVs_mammals!$B$5:$J$28,5,FALSE)</f>
        <v>--</v>
      </c>
      <c r="P10" s="96">
        <f>IF(OR($M10=0,ISTEXT(N10)),"--",$M10/N10)</f>
        <v>2.1457662983640025E-4</v>
      </c>
      <c r="Q10" s="96" t="str">
        <f>IF(OR($M10=0,ISTEXT(O10)),"--",$M10/O10)</f>
        <v>--</v>
      </c>
      <c r="R10" s="395" t="str">
        <f>IF(ISBLANK(VLOOKUP($B10,TRVs_mammals!B$8:J$28,8,FALSE)),"--",VLOOKUP($B10,TRVs_mammals!$B$8:$J$28,8,FALSE))</f>
        <v>--</v>
      </c>
      <c r="S10" s="96" t="str">
        <f>IF(OR($M10=0,ISTEXT(R10)),"--",$M10/R10)</f>
        <v>--</v>
      </c>
      <c r="T10" s="283" t="str">
        <f>IF(AND(H10="n/a",ISNUMBER($C$41),$C$41&gt;0),"PU",IF(AND(J10="n/a",ISNUMBER($C$42),$C$42&gt;0),"PU",""))</f>
        <v>PU</v>
      </c>
    </row>
    <row r="11" spans="2:20">
      <c r="B11" s="80" t="s">
        <v>60</v>
      </c>
      <c r="C11" s="39">
        <v>1</v>
      </c>
      <c r="D11" s="94">
        <f>S_PFPeA</f>
        <v>1000</v>
      </c>
      <c r="E11" s="95">
        <f t="shared" si="0"/>
        <v>3.0128945301201222</v>
      </c>
      <c r="F11" s="95">
        <f>W_PFPeA</f>
        <v>10</v>
      </c>
      <c r="G11" s="95">
        <f t="shared" si="1"/>
        <v>1.9000000000000001</v>
      </c>
      <c r="H11" s="95">
        <f>VLOOKUP($B11,EPCs!$B$5:$G$28,3,FALSE)</f>
        <v>130000</v>
      </c>
      <c r="I11" s="95">
        <f t="shared" si="2"/>
        <v>38009.553639683887</v>
      </c>
      <c r="J11" s="95">
        <f>VLOOKUP($B11,EPCs!$B$5:$G$28,5,FALSE)</f>
        <v>340</v>
      </c>
      <c r="K11" s="95">
        <f t="shared" si="3"/>
        <v>24.852400456716385</v>
      </c>
      <c r="L11" s="95">
        <f t="shared" ref="L11:L30" si="4">SUM(E11,G11,I11,K11)</f>
        <v>38039.318934670722</v>
      </c>
      <c r="M11" s="95">
        <f t="shared" ref="M11:M30" si="5">L11/10^6</f>
        <v>3.8039318934670725E-2</v>
      </c>
      <c r="N11" s="95" t="str">
        <f>VLOOKUP($B11,TRVs_mammals!$B$5:$J$28,2,FALSE)</f>
        <v>No TRV</v>
      </c>
      <c r="O11" s="95" t="str">
        <f>VLOOKUP($B11,TRVs_mammals!$B$5:$J$28,5,FALSE)</f>
        <v>No TRV</v>
      </c>
      <c r="P11" s="96" t="str">
        <f t="shared" ref="P11:Q20" si="6">IF(OR($M11=0,ISTEXT(N11)),"--",$M11/N11)</f>
        <v>--</v>
      </c>
      <c r="Q11" s="96" t="str">
        <f t="shared" si="6"/>
        <v>--</v>
      </c>
      <c r="R11" s="395" t="str">
        <f>IF(ISBLANK(VLOOKUP($B11,TRVs_mammals!B$8:J$28,8,FALSE)),"--",VLOOKUP($B11,TRVs_mammals!$B$8:$J$28,8,FALSE))</f>
        <v>--</v>
      </c>
      <c r="S11" s="96" t="str">
        <f t="shared" ref="S11:S20" si="7">IF(OR($M11=0,ISTEXT(R11)),"--",$M11/R11)</f>
        <v>--</v>
      </c>
      <c r="T11" s="283" t="str">
        <f>IF(AND(H11="n/a",ISNUMBER($C$41),$C$41&gt;0),"PU",IF(AND(J11="n/a",ISNUMBER($C$42),$C$42&gt;0),"PU",""))</f>
        <v/>
      </c>
    </row>
    <row r="12" spans="2:20">
      <c r="B12" s="80" t="s">
        <v>61</v>
      </c>
      <c r="C12" s="39">
        <v>1</v>
      </c>
      <c r="D12" s="94">
        <f>S_PFHxA</f>
        <v>2000</v>
      </c>
      <c r="E12" s="95">
        <f t="shared" si="0"/>
        <v>6.0257890602402444</v>
      </c>
      <c r="F12" s="95">
        <f>W_PFHxA</f>
        <v>10</v>
      </c>
      <c r="G12" s="95">
        <f t="shared" si="1"/>
        <v>1.9000000000000001</v>
      </c>
      <c r="H12" s="95">
        <f>VLOOKUP($B12,EPCs!$B$5:$G$28,3,FALSE)</f>
        <v>5</v>
      </c>
      <c r="I12" s="95">
        <f t="shared" si="2"/>
        <v>1.4619059092186111</v>
      </c>
      <c r="J12" s="95">
        <f>VLOOKUP($B12,EPCs!$B$5:$G$28,5,FALSE)</f>
        <v>60</v>
      </c>
      <c r="K12" s="95">
        <f t="shared" si="3"/>
        <v>4.3857177276558321</v>
      </c>
      <c r="L12" s="95">
        <f t="shared" si="4"/>
        <v>13.773412697114688</v>
      </c>
      <c r="M12" s="95">
        <f t="shared" si="5"/>
        <v>1.3773412697114689E-5</v>
      </c>
      <c r="N12" s="95">
        <f>VLOOKUP($B12,TRVs_mammals!$B$5:$J$28,2,FALSE)</f>
        <v>30</v>
      </c>
      <c r="O12" s="95">
        <f>VLOOKUP($B12,TRVs_mammals!$B$5:$J$28,5,FALSE)</f>
        <v>200</v>
      </c>
      <c r="P12" s="96">
        <f t="shared" si="6"/>
        <v>4.5911375657048961E-7</v>
      </c>
      <c r="Q12" s="96">
        <f t="shared" si="6"/>
        <v>6.886706348557345E-8</v>
      </c>
      <c r="R12" s="395" t="str">
        <f>IF(ISBLANK(VLOOKUP($B12,TRVs_mammals!B$8:J$28,8,FALSE)),"--",VLOOKUP($B12,TRVs_mammals!$B$8:$J$28,8,FALSE))</f>
        <v>--</v>
      </c>
      <c r="S12" s="96" t="str">
        <f t="shared" si="7"/>
        <v>--</v>
      </c>
      <c r="T12" s="283" t="str">
        <f t="shared" ref="T12:T20" si="8">IF(AND(H12="n/a",ISNUMBER($C$41),$C$41&gt;0),"PU",IF(AND(J12="n/a",ISNUMBER($C$42),$C$42&gt;0),"PU",""))</f>
        <v/>
      </c>
    </row>
    <row r="13" spans="2:20">
      <c r="B13" s="80" t="s">
        <v>62</v>
      </c>
      <c r="C13" s="39">
        <v>1</v>
      </c>
      <c r="D13" s="94">
        <f>S_PFHpA</f>
        <v>2000</v>
      </c>
      <c r="E13" s="95">
        <f t="shared" si="0"/>
        <v>6.0257890602402444</v>
      </c>
      <c r="F13" s="95">
        <f>W_PFHpA</f>
        <v>30</v>
      </c>
      <c r="G13" s="95">
        <f t="shared" si="1"/>
        <v>5.7</v>
      </c>
      <c r="H13" s="95">
        <f>VLOOKUP($B13,EPCs!$B$5:$G$28,3,FALSE)</f>
        <v>18800</v>
      </c>
      <c r="I13" s="95">
        <f t="shared" si="2"/>
        <v>5496.7662186619773</v>
      </c>
      <c r="J13" s="95">
        <f>VLOOKUP($B13,EPCs!$B$5:$G$28,5,FALSE)</f>
        <v>2400</v>
      </c>
      <c r="K13" s="95">
        <f t="shared" si="3"/>
        <v>175.4287091062333</v>
      </c>
      <c r="L13" s="95">
        <f t="shared" si="4"/>
        <v>5683.9207168284511</v>
      </c>
      <c r="M13" s="95">
        <f t="shared" si="5"/>
        <v>5.6839207168284511E-3</v>
      </c>
      <c r="N13" s="95" t="str">
        <f>VLOOKUP($B13,TRVs_mammals!$B$5:$J$28,2,FALSE)</f>
        <v>No TRV</v>
      </c>
      <c r="O13" s="95" t="str">
        <f>VLOOKUP($B13,TRVs_mammals!$B$5:$J$28,5,FALSE)</f>
        <v>No TRV</v>
      </c>
      <c r="P13" s="96" t="str">
        <f t="shared" si="6"/>
        <v>--</v>
      </c>
      <c r="Q13" s="96" t="str">
        <f t="shared" si="6"/>
        <v>--</v>
      </c>
      <c r="R13" s="395" t="str">
        <f>IF(ISBLANK(VLOOKUP($B13,TRVs_mammals!B$8:J$28,8,FALSE)),"--",VLOOKUP($B13,TRVs_mammals!$B$8:$J$28,8,FALSE))</f>
        <v>--</v>
      </c>
      <c r="S13" s="96" t="str">
        <f t="shared" si="7"/>
        <v>--</v>
      </c>
      <c r="T13" s="283" t="str">
        <f t="shared" si="8"/>
        <v/>
      </c>
    </row>
    <row r="14" spans="2:20">
      <c r="B14" s="80" t="s">
        <v>38</v>
      </c>
      <c r="C14" s="39">
        <v>1</v>
      </c>
      <c r="D14" s="94">
        <f>S_PFOA</f>
        <v>3000</v>
      </c>
      <c r="E14" s="95">
        <f t="shared" si="0"/>
        <v>9.0386835903603657</v>
      </c>
      <c r="F14" s="95">
        <f>W_PFOA</f>
        <v>10</v>
      </c>
      <c r="G14" s="95">
        <f t="shared" si="1"/>
        <v>1.9000000000000001</v>
      </c>
      <c r="H14" s="95">
        <f>VLOOKUP($B14,EPCs!$B$5:$G$28,3,FALSE)</f>
        <v>10</v>
      </c>
      <c r="I14" s="95">
        <f t="shared" si="2"/>
        <v>2.9238118184372222</v>
      </c>
      <c r="J14" s="95">
        <f>VLOOKUP($B14,EPCs!$B$5:$G$28,5,FALSE)</f>
        <v>1</v>
      </c>
      <c r="K14" s="95">
        <f t="shared" si="3"/>
        <v>7.3095295460930534E-2</v>
      </c>
      <c r="L14" s="95">
        <f t="shared" si="4"/>
        <v>13.935590704258519</v>
      </c>
      <c r="M14" s="95">
        <f t="shared" si="5"/>
        <v>1.3935590704258519E-5</v>
      </c>
      <c r="N14" s="95">
        <f>VLOOKUP($B14,TRVs_mammals!$B$5:$J$28,2,FALSE)</f>
        <v>1.3</v>
      </c>
      <c r="O14" s="95">
        <f>VLOOKUP($B14,TRVs_mammals!$B$5:$J$28,5,FALSE)</f>
        <v>14</v>
      </c>
      <c r="P14" s="96">
        <f t="shared" si="6"/>
        <v>1.0719685157121937E-5</v>
      </c>
      <c r="Q14" s="96">
        <f t="shared" si="6"/>
        <v>9.953993360184657E-7</v>
      </c>
      <c r="R14" s="395" t="str">
        <f>IF(ISBLANK(VLOOKUP($B14,TRVs_mammals!B$8:J$28,8,FALSE)),"--",VLOOKUP($B14,TRVs_mammals!$B$8:$J$28,8,FALSE))</f>
        <v>--</v>
      </c>
      <c r="S14" s="96" t="str">
        <f t="shared" si="7"/>
        <v>--</v>
      </c>
      <c r="T14" s="283" t="str">
        <f t="shared" si="8"/>
        <v/>
      </c>
    </row>
    <row r="15" spans="2:20">
      <c r="B15" s="80" t="s">
        <v>63</v>
      </c>
      <c r="C15" s="39">
        <v>1</v>
      </c>
      <c r="D15" s="94">
        <f>S_PFNA</f>
        <v>3000</v>
      </c>
      <c r="E15" s="95">
        <f t="shared" si="0"/>
        <v>9.0386835903603657</v>
      </c>
      <c r="F15" s="95">
        <f>W_PFNA</f>
        <v>10</v>
      </c>
      <c r="G15" s="95">
        <f t="shared" si="1"/>
        <v>1.9000000000000001</v>
      </c>
      <c r="H15" s="95">
        <f>VLOOKUP($B15,EPCs!$B$5:$G$28,3,FALSE)</f>
        <v>3600</v>
      </c>
      <c r="I15" s="95">
        <f t="shared" si="2"/>
        <v>1052.5722546373997</v>
      </c>
      <c r="J15" s="95">
        <f>VLOOKUP($B15,EPCs!$B$5:$G$28,5,FALSE)</f>
        <v>27300</v>
      </c>
      <c r="K15" s="95">
        <f t="shared" si="3"/>
        <v>1995.5015660834035</v>
      </c>
      <c r="L15" s="95">
        <f t="shared" si="4"/>
        <v>3059.0125043111639</v>
      </c>
      <c r="M15" s="95">
        <f t="shared" si="5"/>
        <v>3.0590125043111639E-3</v>
      </c>
      <c r="N15" s="95">
        <f>VLOOKUP($B15,TRVs_mammals!$B$5:$J$28,2,FALSE)</f>
        <v>0.83</v>
      </c>
      <c r="O15" s="95">
        <f>VLOOKUP($B15,TRVs_mammals!$B$5:$J$28,5,FALSE)</f>
        <v>1.1000000000000001</v>
      </c>
      <c r="P15" s="96">
        <f t="shared" si="6"/>
        <v>3.685557234109836E-3</v>
      </c>
      <c r="Q15" s="96">
        <f t="shared" si="6"/>
        <v>2.7809204584646943E-3</v>
      </c>
      <c r="R15" s="395" t="str">
        <f>IF(ISBLANK(VLOOKUP($B15,TRVs_mammals!B$8:J$28,8,FALSE)),"--",VLOOKUP($B15,TRVs_mammals!$B$8:$J$28,8,FALSE))</f>
        <v>--</v>
      </c>
      <c r="S15" s="96" t="str">
        <f t="shared" si="7"/>
        <v>--</v>
      </c>
      <c r="T15" s="283" t="str">
        <f t="shared" si="8"/>
        <v/>
      </c>
    </row>
    <row r="16" spans="2:20">
      <c r="B16" s="80" t="s">
        <v>64</v>
      </c>
      <c r="C16" s="39">
        <v>1</v>
      </c>
      <c r="D16" s="94">
        <f>S_PFDA</f>
        <v>4000</v>
      </c>
      <c r="E16" s="95">
        <f t="shared" si="0"/>
        <v>12.051578120480489</v>
      </c>
      <c r="F16" s="95">
        <f>W_PFDA</f>
        <v>10</v>
      </c>
      <c r="G16" s="95">
        <f t="shared" si="1"/>
        <v>1.9000000000000001</v>
      </c>
      <c r="H16" s="95">
        <f>VLOOKUP($B16,EPCs!$B$5:$G$28,3,FALSE)</f>
        <v>3360</v>
      </c>
      <c r="I16" s="95">
        <f t="shared" si="2"/>
        <v>982.40077099490645</v>
      </c>
      <c r="J16" s="95">
        <f>VLOOKUP($B16,EPCs!$B$5:$G$28,5,FALSE)</f>
        <v>104000</v>
      </c>
      <c r="K16" s="95">
        <f t="shared" si="3"/>
        <v>7601.9107279367763</v>
      </c>
      <c r="L16" s="95">
        <f t="shared" si="4"/>
        <v>8598.2630770521628</v>
      </c>
      <c r="M16" s="95">
        <f t="shared" si="5"/>
        <v>8.5982630770521633E-3</v>
      </c>
      <c r="N16" s="95">
        <f>VLOOKUP($B16,TRVs_mammals!$B$5:$J$28,2,FALSE)</f>
        <v>0.3</v>
      </c>
      <c r="O16" s="95">
        <f>VLOOKUP($B16,TRVs_mammals!$B$5:$J$28,5,FALSE)</f>
        <v>1</v>
      </c>
      <c r="P16" s="96">
        <f t="shared" si="6"/>
        <v>2.8660876923507213E-2</v>
      </c>
      <c r="Q16" s="96">
        <f t="shared" si="6"/>
        <v>8.5982630770521633E-3</v>
      </c>
      <c r="R16" s="395">
        <f>IF(ISBLANK(VLOOKUP($B16,TRVs_mammals!B$8:J$28,8,FALSE)),"--",VLOOKUP($B16,TRVs_mammals!$B$8:$J$28,8,FALSE))</f>
        <v>6.4</v>
      </c>
      <c r="S16" s="96">
        <f t="shared" si="7"/>
        <v>1.3434786057894004E-3</v>
      </c>
      <c r="T16" s="283" t="str">
        <f t="shared" si="8"/>
        <v/>
      </c>
    </row>
    <row r="17" spans="2:26">
      <c r="B17" s="80" t="s">
        <v>65</v>
      </c>
      <c r="C17" s="39">
        <v>1</v>
      </c>
      <c r="D17" s="94">
        <f>S_PFUnDA</f>
        <v>4000</v>
      </c>
      <c r="E17" s="95">
        <f t="shared" si="0"/>
        <v>12.051578120480489</v>
      </c>
      <c r="F17" s="95">
        <f>W_PFUnDA</f>
        <v>10</v>
      </c>
      <c r="G17" s="95">
        <f t="shared" si="1"/>
        <v>1.9000000000000001</v>
      </c>
      <c r="H17" s="95">
        <f>VLOOKUP($B17,EPCs!$B$5:$G$28,3,FALSE)</f>
        <v>3040</v>
      </c>
      <c r="I17" s="95">
        <f t="shared" si="2"/>
        <v>888.83879280491533</v>
      </c>
      <c r="J17" s="95">
        <f>VLOOKUP($B17,EPCs!$B$5:$G$28,5,FALSE)</f>
        <v>156000</v>
      </c>
      <c r="K17" s="95">
        <f t="shared" si="3"/>
        <v>11402.866091905164</v>
      </c>
      <c r="L17" s="95">
        <f t="shared" si="4"/>
        <v>12305.656462830559</v>
      </c>
      <c r="M17" s="95">
        <f t="shared" si="5"/>
        <v>1.2305656462830558E-2</v>
      </c>
      <c r="N17" s="95">
        <f>VLOOKUP($B17,TRVs_mammals!$B$5:$J$28,2,FALSE)</f>
        <v>0.3</v>
      </c>
      <c r="O17" s="95">
        <f>VLOOKUP($B17,TRVs_mammals!$B$5:$J$28,5,FALSE)</f>
        <v>1</v>
      </c>
      <c r="P17" s="96">
        <f t="shared" si="6"/>
        <v>4.1018854876101865E-2</v>
      </c>
      <c r="Q17" s="96">
        <f t="shared" si="6"/>
        <v>1.2305656462830558E-2</v>
      </c>
      <c r="R17" s="395" t="str">
        <f>IF(ISBLANK(VLOOKUP($B17,TRVs_mammals!B$8:J$28,8,FALSE)),"--",VLOOKUP($B17,TRVs_mammals!$B$8:$J$28,8,FALSE))</f>
        <v>--</v>
      </c>
      <c r="S17" s="96" t="str">
        <f t="shared" si="7"/>
        <v>--</v>
      </c>
      <c r="T17" s="283" t="str">
        <f t="shared" si="8"/>
        <v/>
      </c>
    </row>
    <row r="18" spans="2:26">
      <c r="B18" s="80" t="s">
        <v>66</v>
      </c>
      <c r="C18" s="39">
        <v>1</v>
      </c>
      <c r="D18" s="94">
        <f>S_PFDoDA</f>
        <v>5000</v>
      </c>
      <c r="E18" s="95">
        <f t="shared" si="0"/>
        <v>15.06447265060061</v>
      </c>
      <c r="F18" s="95">
        <f>W_PFDoDA</f>
        <v>10</v>
      </c>
      <c r="G18" s="95">
        <f t="shared" si="1"/>
        <v>1.9000000000000001</v>
      </c>
      <c r="H18" s="95">
        <f>VLOOKUP($B18,EPCs!$B$5:$G$28,3,FALSE)</f>
        <v>3350</v>
      </c>
      <c r="I18" s="95">
        <f t="shared" si="2"/>
        <v>979.47695917646922</v>
      </c>
      <c r="J18" s="95">
        <f>VLOOKUP($B18,EPCs!$B$5:$G$28,5,FALSE)</f>
        <v>305000</v>
      </c>
      <c r="K18" s="95">
        <f t="shared" si="3"/>
        <v>22294.065115583813</v>
      </c>
      <c r="L18" s="95">
        <f t="shared" si="4"/>
        <v>23290.506547410881</v>
      </c>
      <c r="M18" s="95">
        <f t="shared" si="5"/>
        <v>2.3290506547410883E-2</v>
      </c>
      <c r="N18" s="95">
        <f>VLOOKUP($B18,TRVs_mammals!$B$5:$J$28,2,FALSE)</f>
        <v>0.5</v>
      </c>
      <c r="O18" s="95">
        <f>VLOOKUP($B18,TRVs_mammals!$B$5:$J$28,5,FALSE)</f>
        <v>2.5</v>
      </c>
      <c r="P18" s="96">
        <f t="shared" si="6"/>
        <v>4.6581013094821766E-2</v>
      </c>
      <c r="Q18" s="96">
        <f t="shared" si="6"/>
        <v>9.3162026189643529E-3</v>
      </c>
      <c r="R18" s="395" t="str">
        <f>IF(ISBLANK(VLOOKUP($B18,TRVs_mammals!B$8:J$28,8,FALSE)),"--",VLOOKUP($B18,TRVs_mammals!$B$8:$J$28,8,FALSE))</f>
        <v>--</v>
      </c>
      <c r="S18" s="96" t="str">
        <f t="shared" si="7"/>
        <v>--</v>
      </c>
      <c r="T18" s="283" t="str">
        <f t="shared" si="8"/>
        <v/>
      </c>
    </row>
    <row r="19" spans="2:26">
      <c r="B19" s="80" t="s">
        <v>67</v>
      </c>
      <c r="C19" s="39">
        <v>1</v>
      </c>
      <c r="D19" s="94">
        <f>S_PFTrDA</f>
        <v>5000</v>
      </c>
      <c r="E19" s="95">
        <f t="shared" si="0"/>
        <v>15.06447265060061</v>
      </c>
      <c r="F19" s="95">
        <f>W_PFTrDA</f>
        <v>10</v>
      </c>
      <c r="G19" s="95">
        <f t="shared" si="1"/>
        <v>1.9000000000000001</v>
      </c>
      <c r="H19" s="95" t="str">
        <f>VLOOKUP($B19,EPCs!$B$5:$G$28,3,FALSE)</f>
        <v>n/a</v>
      </c>
      <c r="I19" s="95" t="str">
        <f t="shared" si="2"/>
        <v>--</v>
      </c>
      <c r="J19" s="95" t="str">
        <f>VLOOKUP($B19,EPCs!$B$5:$G$28,5,FALSE)</f>
        <v>n/a</v>
      </c>
      <c r="K19" s="95" t="str">
        <f t="shared" si="3"/>
        <v>--</v>
      </c>
      <c r="L19" s="95">
        <f t="shared" si="4"/>
        <v>16.964472650600609</v>
      </c>
      <c r="M19" s="95">
        <f t="shared" si="5"/>
        <v>1.696447265060061E-5</v>
      </c>
      <c r="N19" s="95" t="str">
        <f>VLOOKUP($B19,TRVs_mammals!$B$5:$J$28,2,FALSE)</f>
        <v>No TRV</v>
      </c>
      <c r="O19" s="95" t="str">
        <f>VLOOKUP($B19,TRVs_mammals!$B$5:$J$28,5,FALSE)</f>
        <v>No TRV</v>
      </c>
      <c r="P19" s="96" t="str">
        <f t="shared" si="6"/>
        <v>--</v>
      </c>
      <c r="Q19" s="96" t="str">
        <f t="shared" si="6"/>
        <v>--</v>
      </c>
      <c r="R19" s="395" t="str">
        <f>IF(ISBLANK(VLOOKUP($B19,TRVs_mammals!B$8:J$28,8,FALSE)),"--",VLOOKUP($B19,TRVs_mammals!$B$8:$J$28,8,FALSE))</f>
        <v>--</v>
      </c>
      <c r="S19" s="96" t="str">
        <f t="shared" si="7"/>
        <v>--</v>
      </c>
      <c r="T19" s="283" t="str">
        <f t="shared" si="8"/>
        <v>PU</v>
      </c>
    </row>
    <row r="20" spans="2:26">
      <c r="B20" s="80" t="s">
        <v>68</v>
      </c>
      <c r="C20" s="39">
        <v>1</v>
      </c>
      <c r="D20" s="94">
        <f>S_PFTeDA</f>
        <v>6000</v>
      </c>
      <c r="E20" s="95">
        <f t="shared" si="0"/>
        <v>18.077367180720731</v>
      </c>
      <c r="F20" s="95">
        <f>W_PFTeDA</f>
        <v>10</v>
      </c>
      <c r="G20" s="95">
        <f t="shared" si="1"/>
        <v>1.9000000000000001</v>
      </c>
      <c r="H20" s="95">
        <f>VLOOKUP($B20,EPCs!$B$5:$G$28,3,FALSE)</f>
        <v>10</v>
      </c>
      <c r="I20" s="95">
        <f t="shared" si="2"/>
        <v>2.9238118184372222</v>
      </c>
      <c r="J20" s="95">
        <f>VLOOKUP($B20,EPCs!$B$5:$G$28,5,FALSE)</f>
        <v>25</v>
      </c>
      <c r="K20" s="95">
        <f t="shared" si="3"/>
        <v>1.8273823865232635</v>
      </c>
      <c r="L20" s="95">
        <f t="shared" si="4"/>
        <v>24.728561385681218</v>
      </c>
      <c r="M20" s="95">
        <f t="shared" si="5"/>
        <v>2.4728561385681218E-5</v>
      </c>
      <c r="N20" s="95">
        <f>VLOOKUP($B20,TRVs_mammals!$B$5:$J$28,2,FALSE)</f>
        <v>3</v>
      </c>
      <c r="O20" s="95">
        <f>VLOOKUP($B20,TRVs_mammals!$B$5:$J$28,5,FALSE)</f>
        <v>10</v>
      </c>
      <c r="P20" s="96">
        <f t="shared" si="6"/>
        <v>8.2428537952270723E-6</v>
      </c>
      <c r="Q20" s="96">
        <f t="shared" si="6"/>
        <v>2.4728561385681219E-6</v>
      </c>
      <c r="R20" s="395" t="str">
        <f>IF(ISBLANK(VLOOKUP($B20,TRVs_mammals!B$8:J$28,8,FALSE)),"--",VLOOKUP($B20,TRVs_mammals!$B$8:$J$28,8,FALSE))</f>
        <v>--</v>
      </c>
      <c r="S20" s="96" t="str">
        <f t="shared" si="7"/>
        <v>--</v>
      </c>
      <c r="T20" s="283" t="str">
        <f t="shared" si="8"/>
        <v/>
      </c>
    </row>
    <row r="21" spans="2:26">
      <c r="B21" s="202" t="s">
        <v>76</v>
      </c>
      <c r="C21" s="125"/>
      <c r="D21" s="67"/>
      <c r="E21" s="67"/>
      <c r="F21" s="67"/>
      <c r="G21" s="67"/>
      <c r="H21" s="67"/>
      <c r="I21" s="67"/>
      <c r="J21" s="67"/>
      <c r="K21" s="67"/>
      <c r="L21" s="67"/>
      <c r="M21" s="67"/>
      <c r="N21" s="67"/>
      <c r="O21" s="67"/>
      <c r="P21" s="67"/>
      <c r="Q21" s="67"/>
      <c r="R21" s="67"/>
      <c r="S21" s="67"/>
      <c r="T21" s="396"/>
    </row>
    <row r="22" spans="2:26">
      <c r="B22" s="80" t="s">
        <v>69</v>
      </c>
      <c r="C22" s="39">
        <v>1</v>
      </c>
      <c r="D22" s="94">
        <f>S_PFBS</f>
        <v>1000</v>
      </c>
      <c r="E22" s="95">
        <f>IFERROR(D22*$C22*Mam3_fir*Mam3_AUF*Mam3_Pso/mam3_bw,"--")</f>
        <v>3.0128945301201222</v>
      </c>
      <c r="F22" s="95">
        <f>W_PFBS</f>
        <v>10</v>
      </c>
      <c r="G22" s="95">
        <f>IFERROR(F22*Mam3_dwi*Mam3_AUF/mam3_bw,"--")</f>
        <v>1.9000000000000001</v>
      </c>
      <c r="H22" s="95">
        <f>VLOOKUP($B22,EPCs!$B$5:$G$28,3,FALSE)</f>
        <v>40000</v>
      </c>
      <c r="I22" s="95">
        <f>IFERROR(H22*Mam3_FIRw*Mam3_AUF*Mam3_Pveg/mam3_bw,"--")</f>
        <v>11695.247273748888</v>
      </c>
      <c r="J22" s="95">
        <f>VLOOKUP($B22,EPCs!$B$5:$G$28,5,FALSE)</f>
        <v>5</v>
      </c>
      <c r="K22" s="95">
        <f>IFERROR(J22*Mam3_FIRw*Mam3_AUF*Mam3_Pinv/mam3_bw,"--")</f>
        <v>0.36547647730465277</v>
      </c>
      <c r="L22" s="95">
        <f t="shared" si="4"/>
        <v>11700.525644756313</v>
      </c>
      <c r="M22" s="95">
        <f t="shared" si="5"/>
        <v>1.1700525644756314E-2</v>
      </c>
      <c r="N22" s="95">
        <f>VLOOKUP($B22,TRVs_mammals!$B$5:$J$28,2,FALSE)</f>
        <v>300</v>
      </c>
      <c r="O22" s="95">
        <f>VLOOKUP($B22,TRVs_mammals!$B$5:$J$28,5,FALSE)</f>
        <v>1000</v>
      </c>
      <c r="P22" s="96">
        <f t="shared" ref="P22:Q25" si="9">IF(OR($M22=0,ISTEXT(N22)),"--",$M22/N22)</f>
        <v>3.9001752149187715E-5</v>
      </c>
      <c r="Q22" s="96">
        <f t="shared" si="9"/>
        <v>1.1700525644756313E-5</v>
      </c>
      <c r="R22" s="395" t="str">
        <f>IF(ISBLANK(VLOOKUP($B22,TRVs_mammals!B$8:J$28,8,FALSE)),"--",VLOOKUP($B22,TRVs_mammals!$B$8:$J$28,8,FALSE))</f>
        <v>--</v>
      </c>
      <c r="S22" s="96" t="str">
        <f t="shared" ref="S22:S25" si="10">IF(OR($M22=0,ISTEXT(R22)),"--",$M22/R22)</f>
        <v>--</v>
      </c>
      <c r="T22" s="283" t="str">
        <f t="shared" ref="T22:T25" si="11">IF(AND(H22="n/a",ISNUMBER($C$41),$C$41&gt;0),"PU",IF(AND(J22="n/a",ISNUMBER($C$42),$C$42&gt;0),"PU",""))</f>
        <v/>
      </c>
    </row>
    <row r="23" spans="2:26">
      <c r="B23" s="80" t="s">
        <v>70</v>
      </c>
      <c r="C23" s="39">
        <v>1</v>
      </c>
      <c r="D23" s="94">
        <f>S_PFHxS</f>
        <v>2000</v>
      </c>
      <c r="E23" s="95">
        <f>IFERROR(D23*$C23*Mam3_fir*Mam3_AUF*Mam3_Pso/mam3_bw,"--")</f>
        <v>6.0257890602402444</v>
      </c>
      <c r="F23" s="95">
        <f>W_PFHxS</f>
        <v>10</v>
      </c>
      <c r="G23" s="95">
        <f>IFERROR(F23*Mam3_dwi*Mam3_AUF/mam3_bw,"--")</f>
        <v>1.9000000000000001</v>
      </c>
      <c r="H23" s="95">
        <f>VLOOKUP($B23,EPCs!$B$5:$G$28,3,FALSE)</f>
        <v>10</v>
      </c>
      <c r="I23" s="95">
        <f>IFERROR(H23*Mam3_FIRw*Mam3_AUF*Mam3_Pveg/mam3_bw,"--")</f>
        <v>2.9238118184372222</v>
      </c>
      <c r="J23" s="95">
        <f>VLOOKUP($B23,EPCs!$B$5:$G$28,5,FALSE)</f>
        <v>68000</v>
      </c>
      <c r="K23" s="95">
        <f>IFERROR(J23*Mam3_FIRw*Mam3_AUF*Mam3_Pinv/mam3_bw,"--")</f>
        <v>4970.4800913432773</v>
      </c>
      <c r="L23" s="95">
        <f t="shared" si="4"/>
        <v>4981.3296922219552</v>
      </c>
      <c r="M23" s="95">
        <f t="shared" si="5"/>
        <v>4.9813296922219556E-3</v>
      </c>
      <c r="N23" s="95">
        <f>VLOOKUP($B23,TRVs_mammals!$B$5:$J$28,2,FALSE)</f>
        <v>0.3</v>
      </c>
      <c r="O23" s="95">
        <f>VLOOKUP($B23,TRVs_mammals!$B$5:$J$28,5,FALSE)</f>
        <v>1</v>
      </c>
      <c r="P23" s="96">
        <f t="shared" si="9"/>
        <v>1.6604432307406519E-2</v>
      </c>
      <c r="Q23" s="96">
        <f t="shared" si="9"/>
        <v>4.9813296922219556E-3</v>
      </c>
      <c r="R23" s="395">
        <f>IF(ISBLANK(VLOOKUP($B23,TRVs_mammals!B$8:J$28,8,FALSE)),"--",VLOOKUP($B23,TRVs_mammals!$B$8:$J$28,8,FALSE))</f>
        <v>10</v>
      </c>
      <c r="S23" s="96">
        <f t="shared" si="10"/>
        <v>4.9813296922219554E-4</v>
      </c>
      <c r="T23" s="283" t="str">
        <f t="shared" si="11"/>
        <v/>
      </c>
    </row>
    <row r="24" spans="2:26">
      <c r="B24" s="80" t="s">
        <v>37</v>
      </c>
      <c r="C24" s="39">
        <v>1</v>
      </c>
      <c r="D24" s="94">
        <f>S_PFOS</f>
        <v>3000</v>
      </c>
      <c r="E24" s="95">
        <f>IFERROR(D24*$C24*Mam3_fir*Mam3_AUF*Mam3_Pso/mam3_bw,"--")</f>
        <v>9.0386835903603657</v>
      </c>
      <c r="F24" s="95">
        <f>W_PFOS</f>
        <v>10</v>
      </c>
      <c r="G24" s="95">
        <f>IFERROR(F24*Mam3_dwi*Mam3_AUF/mam3_bw,"--")</f>
        <v>1.9000000000000001</v>
      </c>
      <c r="H24" s="95">
        <f>VLOOKUP($B24,EPCs!$B$5:$G$28,3,FALSE)</f>
        <v>13800</v>
      </c>
      <c r="I24" s="95">
        <f>IFERROR(H24*Mam3_FIRw*Mam3_AUF*Mam3_Pveg/mam3_bw,"--")</f>
        <v>4034.8603094433656</v>
      </c>
      <c r="J24" s="95">
        <f>VLOOKUP($B24,EPCs!$B$5:$G$28,5,FALSE)</f>
        <v>8</v>
      </c>
      <c r="K24" s="95">
        <f>IFERROR(J24*Mam3_FIRw*Mam3_AUF*Mam3_Pinv/mam3_bw,"--")</f>
        <v>0.58476236368744428</v>
      </c>
      <c r="L24" s="95">
        <f t="shared" si="4"/>
        <v>4046.3837553974131</v>
      </c>
      <c r="M24" s="95">
        <f t="shared" si="5"/>
        <v>4.0463837553974128E-3</v>
      </c>
      <c r="N24" s="95">
        <f>VLOOKUP($B24,TRVs_mammals!$B$5:$J$28,2,FALSE)</f>
        <v>0.1</v>
      </c>
      <c r="O24" s="95">
        <f>VLOOKUP($B24,TRVs_mammals!$B$5:$J$28,5,FALSE)</f>
        <v>0.4</v>
      </c>
      <c r="P24" s="96">
        <f t="shared" si="9"/>
        <v>4.0463837553974126E-2</v>
      </c>
      <c r="Q24" s="96">
        <f t="shared" si="9"/>
        <v>1.0115959388493532E-2</v>
      </c>
      <c r="R24" s="395">
        <f>IF(ISBLANK(VLOOKUP($B24,TRVs_mammals!B$8:J$28,8,FALSE)),"--",VLOOKUP($B24,TRVs_mammals!$B$8:$J$28,8,FALSE))</f>
        <v>1.6</v>
      </c>
      <c r="S24" s="96">
        <f t="shared" si="10"/>
        <v>2.5289898471233829E-3</v>
      </c>
      <c r="T24" s="283" t="str">
        <f t="shared" si="11"/>
        <v/>
      </c>
    </row>
    <row r="25" spans="2:26">
      <c r="B25" s="80" t="s">
        <v>71</v>
      </c>
      <c r="C25" s="39">
        <v>1</v>
      </c>
      <c r="D25" s="94">
        <f>S_PFDS</f>
        <v>1000</v>
      </c>
      <c r="E25" s="95">
        <f>IFERROR(D25*$C25*Mam3_fir*Mam3_AUF*Mam3_Pso/mam3_bw,"--")</f>
        <v>3.0128945301201222</v>
      </c>
      <c r="F25" s="95">
        <f>W_PFDS</f>
        <v>10</v>
      </c>
      <c r="G25" s="95">
        <f>IFERROR(F25*Mam3_dwi*Mam3_AUF/mam3_bw,"--")</f>
        <v>1.9000000000000001</v>
      </c>
      <c r="H25" s="95">
        <f>VLOOKUP($B25,EPCs!$B$5:$G$28,3,FALSE)</f>
        <v>180</v>
      </c>
      <c r="I25" s="95">
        <f>IFERROR(H25*Mam3_FIRw*Mam3_AUF*Mam3_Pveg/mam3_bw,"--")</f>
        <v>52.628612731869993</v>
      </c>
      <c r="J25" s="95">
        <f>VLOOKUP($B25,EPCs!$B$5:$G$28,5,FALSE)</f>
        <v>1700.0000000000002</v>
      </c>
      <c r="K25" s="95">
        <f>IFERROR(J25*Mam3_FIRw*Mam3_AUF*Mam3_Pinv/mam3_bw,"--")</f>
        <v>124.26200228358195</v>
      </c>
      <c r="L25" s="95">
        <f t="shared" si="4"/>
        <v>181.80350954557207</v>
      </c>
      <c r="M25" s="95">
        <f t="shared" si="5"/>
        <v>1.8180350954557207E-4</v>
      </c>
      <c r="N25" s="95" t="str">
        <f>VLOOKUP($B25,TRVs_mammals!$B$5:$J$28,2,FALSE)</f>
        <v>No TRV</v>
      </c>
      <c r="O25" s="95" t="str">
        <f>VLOOKUP($B25,TRVs_mammals!$B$5:$J$28,5,FALSE)</f>
        <v>No TRV</v>
      </c>
      <c r="P25" s="96" t="str">
        <f t="shared" si="9"/>
        <v>--</v>
      </c>
      <c r="Q25" s="96" t="str">
        <f t="shared" si="9"/>
        <v>--</v>
      </c>
      <c r="R25" s="395" t="str">
        <f>IF(ISBLANK(VLOOKUP($B25,TRVs_mammals!B$8:J$28,8,FALSE)),"--",VLOOKUP($B25,TRVs_mammals!$B$8:$J$28,8,FALSE))</f>
        <v>--</v>
      </c>
      <c r="S25" s="96" t="str">
        <f t="shared" si="10"/>
        <v>--</v>
      </c>
      <c r="T25" s="283" t="str">
        <f t="shared" si="11"/>
        <v/>
      </c>
    </row>
    <row r="26" spans="2:26">
      <c r="B26" s="202" t="s">
        <v>77</v>
      </c>
      <c r="C26" s="125"/>
      <c r="D26" s="67"/>
      <c r="E26" s="67"/>
      <c r="F26" s="67"/>
      <c r="G26" s="67"/>
      <c r="H26" s="67"/>
      <c r="I26" s="67"/>
      <c r="J26" s="67"/>
      <c r="K26" s="67"/>
      <c r="L26" s="67"/>
      <c r="M26" s="67"/>
      <c r="N26" s="67"/>
      <c r="O26" s="67"/>
      <c r="P26" s="67"/>
      <c r="Q26" s="67"/>
      <c r="R26" s="67"/>
      <c r="S26" s="67"/>
      <c r="T26" s="396"/>
    </row>
    <row r="27" spans="2:26">
      <c r="B27" s="80" t="s">
        <v>72</v>
      </c>
      <c r="C27" s="39">
        <v>1</v>
      </c>
      <c r="D27" s="94">
        <f>S_PFOSA</f>
        <v>1000</v>
      </c>
      <c r="E27" s="95">
        <f>IFERROR(D27*$C27*Mam3_fir*Mam3_AUF*Mam3_Pso/mam3_bw,"--")</f>
        <v>3.0128945301201222</v>
      </c>
      <c r="F27" s="95">
        <f>W_PFOSA</f>
        <v>10</v>
      </c>
      <c r="G27" s="95">
        <f>IFERROR(F27*Mam3_dwi*Mam3_AUF/mam3_bw,"--")</f>
        <v>1.9000000000000001</v>
      </c>
      <c r="H27" s="95">
        <f>VLOOKUP($B27,EPCs!$B$5:$G$28,3,FALSE)</f>
        <v>33</v>
      </c>
      <c r="I27" s="95">
        <f>IFERROR(H27*Mam3_FIRw*Mam3_AUF*Mam3_Pveg/mam3_bw,"--")</f>
        <v>9.6485790008428332</v>
      </c>
      <c r="J27" s="95" t="str">
        <f>VLOOKUP($B27,EPCs!$B$5:$G$28,5,FALSE)</f>
        <v>n/a</v>
      </c>
      <c r="K27" s="95" t="str">
        <f>IFERROR(J27*Mam3_FIRw*Mam3_AUF*Mam3_Pinv/mam3_bw,"--")</f>
        <v>--</v>
      </c>
      <c r="L27" s="95">
        <f t="shared" si="4"/>
        <v>14.561473530962957</v>
      </c>
      <c r="M27" s="95">
        <f t="shared" si="5"/>
        <v>1.4561473530962956E-5</v>
      </c>
      <c r="N27" s="95" t="str">
        <f>VLOOKUP($B27,TRVs_mammals!$B$5:$J$28,2,FALSE)</f>
        <v>No TRV</v>
      </c>
      <c r="O27" s="95" t="str">
        <f>VLOOKUP($B27,TRVs_mammals!$B$5:$J$28,5,FALSE)</f>
        <v>No TRV</v>
      </c>
      <c r="P27" s="96" t="str">
        <f t="shared" ref="P27:Q27" si="12">IF(OR($M27=0,ISTEXT(N27)),"--",$M27/N27)</f>
        <v>--</v>
      </c>
      <c r="Q27" s="96" t="str">
        <f t="shared" si="12"/>
        <v>--</v>
      </c>
      <c r="R27" s="395" t="str">
        <f>IF(ISBLANK(VLOOKUP($B27,TRVs_mammals!B$8:J$28,8,FALSE)),"--",VLOOKUP($B27,TRVs_mammals!$B$8:$J$28,8,FALSE))</f>
        <v>--</v>
      </c>
      <c r="S27" s="96" t="str">
        <f>IF(OR($M27=0,ISTEXT(R27)),"--",$M27/R27)</f>
        <v>--</v>
      </c>
      <c r="T27" s="283" t="str">
        <f>IF(AND(H27="n/a",ISNUMBER($C$41),$C$41&gt;0),"PU",IF(AND(J27="n/a",ISNUMBER($C$42),$C$42&gt;0),"PU",""))</f>
        <v>PU</v>
      </c>
    </row>
    <row r="28" spans="2:26">
      <c r="B28" s="202" t="s">
        <v>78</v>
      </c>
      <c r="C28" s="125"/>
      <c r="D28" s="67"/>
      <c r="E28" s="67"/>
      <c r="F28" s="67"/>
      <c r="G28" s="67"/>
      <c r="H28" s="67"/>
      <c r="I28" s="67"/>
      <c r="J28" s="67"/>
      <c r="K28" s="67"/>
      <c r="L28" s="67"/>
      <c r="M28" s="67"/>
      <c r="N28" s="67"/>
      <c r="O28" s="67"/>
      <c r="P28" s="67"/>
      <c r="Q28" s="67"/>
      <c r="R28" s="67"/>
      <c r="S28" s="67"/>
      <c r="T28" s="84"/>
    </row>
    <row r="29" spans="2:26">
      <c r="B29" s="80" t="s">
        <v>73</v>
      </c>
      <c r="C29" s="39">
        <v>1</v>
      </c>
      <c r="D29" s="94">
        <f>S_NEtFOSAA</f>
        <v>1000</v>
      </c>
      <c r="E29" s="95">
        <f>IFERROR(D29*$C29*Mam3_fir*Mam3_AUF*Mam3_Pso/mam3_bw,"--")</f>
        <v>3.0128945301201222</v>
      </c>
      <c r="F29" s="95">
        <f>W_NEtFOSAA</f>
        <v>10</v>
      </c>
      <c r="G29" s="95">
        <f>IFERROR(F29*Mam3_dwi*Mam3_AUF/mam3_bw,"--")</f>
        <v>1.9000000000000001</v>
      </c>
      <c r="H29" s="95">
        <f>VLOOKUP($B29,EPCs!$B$5:$G$28,3,FALSE)</f>
        <v>10</v>
      </c>
      <c r="I29" s="95">
        <f>IFERROR(H29*Mam3_FIRw*Mam3_AUF*Mam3_Pveg/mam3_bw,"--")</f>
        <v>2.9238118184372222</v>
      </c>
      <c r="J29" s="95">
        <f>VLOOKUP($B29,EPCs!$B$5:$G$28,5,FALSE)</f>
        <v>45</v>
      </c>
      <c r="K29" s="95">
        <f>IFERROR(J29*Mam3_FIRw*Mam3_AUF*Mam3_Pinv/mam3_bw,"--")</f>
        <v>3.2892882957418745</v>
      </c>
      <c r="L29" s="95">
        <f t="shared" si="4"/>
        <v>11.125994644299219</v>
      </c>
      <c r="M29" s="95">
        <f t="shared" si="5"/>
        <v>1.1125994644299218E-5</v>
      </c>
      <c r="N29" s="95" t="str">
        <f>VLOOKUP($B29,TRVs_mammals!$B$5:$J$28,2,FALSE)</f>
        <v>No TRV</v>
      </c>
      <c r="O29" s="95" t="str">
        <f>VLOOKUP($B29,TRVs_mammals!$B$5:$J$28,5,FALSE)</f>
        <v>No TRV</v>
      </c>
      <c r="P29" s="96" t="str">
        <f t="shared" ref="P29:Q30" si="13">IF(OR($M29=0,ISTEXT(N29)),"--",$M29/N29)</f>
        <v>--</v>
      </c>
      <c r="Q29" s="96" t="str">
        <f t="shared" si="13"/>
        <v>--</v>
      </c>
      <c r="R29" s="395" t="str">
        <f>IF(ISBLANK(VLOOKUP($B29,TRVs_mammals!B$8:J$28,8,FALSE)),"--",VLOOKUP($B29,TRVs_mammals!$B$8:$J$28,8,FALSE))</f>
        <v>--</v>
      </c>
      <c r="S29" s="96" t="str">
        <f t="shared" ref="S29:S30" si="14">IF(OR($M29=0,ISTEXT(R29)),"--",$M29/R29)</f>
        <v>--</v>
      </c>
      <c r="T29" s="283" t="str">
        <f t="shared" ref="T29:T30" si="15">IF(AND(H29="n/a",ISNUMBER($C$41),$C$41&gt;0),"PU",IF(AND(J29="n/a",ISNUMBER($C$42),$C$42&gt;0),"PU",""))</f>
        <v/>
      </c>
    </row>
    <row r="30" spans="2:26">
      <c r="B30" s="81" t="s">
        <v>74</v>
      </c>
      <c r="C30" s="39">
        <v>1</v>
      </c>
      <c r="D30" s="94">
        <f>S_NMeFOSAA</f>
        <v>1000</v>
      </c>
      <c r="E30" s="95">
        <f>IFERROR(D30*$C30*Mam3_fir*Mam3_AUF*Mam3_Pso/mam3_bw,"--")</f>
        <v>3.0128945301201222</v>
      </c>
      <c r="F30" s="95">
        <f>W_NMeFOSAA</f>
        <v>10</v>
      </c>
      <c r="G30" s="95">
        <f>IFERROR(F30*Mam3_dwi*Mam3_AUF/mam3_bw,"--")</f>
        <v>1.9000000000000001</v>
      </c>
      <c r="H30" s="95" t="str">
        <f>VLOOKUP($B30,EPCs!$B$5:$G$28,3,FALSE)</f>
        <v>n/a</v>
      </c>
      <c r="I30" s="95" t="str">
        <f>IFERROR(H30*Mam3_FIRw*Mam3_AUF*Mam3_Pveg/mam3_bw,"--")</f>
        <v>--</v>
      </c>
      <c r="J30" s="95" t="str">
        <f>VLOOKUP($B30,EPCs!$B$5:$G$28,5,FALSE)</f>
        <v>n/a</v>
      </c>
      <c r="K30" s="95" t="str">
        <f>IFERROR(J30*Mam3_FIRw*Mam3_AUF*Mam3_Pinv/mam3_bw,"--")</f>
        <v>--</v>
      </c>
      <c r="L30" s="95">
        <f t="shared" si="4"/>
        <v>4.9128945301201226</v>
      </c>
      <c r="M30" s="95">
        <f t="shared" si="5"/>
        <v>4.9128945301201223E-6</v>
      </c>
      <c r="N30" s="95" t="str">
        <f>VLOOKUP($B30,TRVs_mammals!$B$5:$J$28,2,FALSE)</f>
        <v>No TRV</v>
      </c>
      <c r="O30" s="95" t="str">
        <f>VLOOKUP($B30,TRVs_mammals!$B$5:$J$28,5,FALSE)</f>
        <v>No TRV</v>
      </c>
      <c r="P30" s="96" t="str">
        <f t="shared" si="13"/>
        <v>--</v>
      </c>
      <c r="Q30" s="96" t="str">
        <f t="shared" si="13"/>
        <v>--</v>
      </c>
      <c r="R30" s="395" t="str">
        <f>IF(ISBLANK(VLOOKUP($B30,TRVs_mammals!B$8:J$28,8,FALSE)),"--",VLOOKUP($B30,TRVs_mammals!$B$8:$J$28,8,FALSE))</f>
        <v>--</v>
      </c>
      <c r="S30" s="96" t="str">
        <f t="shared" si="14"/>
        <v>--</v>
      </c>
      <c r="T30" s="283" t="str">
        <f t="shared" si="15"/>
        <v>PU</v>
      </c>
    </row>
    <row r="31" spans="2:26" ht="14.4">
      <c r="B31" s="43"/>
      <c r="C31" s="97"/>
      <c r="D31" s="97"/>
      <c r="E31" s="97"/>
      <c r="F31" s="97"/>
      <c r="G31" s="97"/>
      <c r="H31" s="98"/>
      <c r="I31" s="97"/>
      <c r="J31" s="97"/>
      <c r="K31" s="97"/>
      <c r="L31"/>
      <c r="M31"/>
      <c r="N31"/>
      <c r="O31"/>
      <c r="P31"/>
      <c r="Q31"/>
      <c r="R31"/>
      <c r="S31"/>
      <c r="T31"/>
      <c r="U31"/>
      <c r="V31"/>
      <c r="W31"/>
    </row>
    <row r="32" spans="2:26">
      <c r="B32" s="31" t="s">
        <v>1</v>
      </c>
      <c r="C32" s="18"/>
      <c r="E32" s="99"/>
      <c r="F32" s="99"/>
      <c r="G32" s="99"/>
      <c r="I32" s="100"/>
      <c r="J32" s="101"/>
      <c r="K32" s="101"/>
      <c r="L32" s="100"/>
      <c r="M32" s="100"/>
      <c r="N32" s="100"/>
      <c r="O32" s="100"/>
      <c r="P32" s="100"/>
      <c r="Q32" s="100"/>
      <c r="R32" s="100"/>
      <c r="S32" s="100"/>
      <c r="T32" s="100"/>
      <c r="U32" s="100"/>
      <c r="V32" s="100"/>
      <c r="W32" s="100"/>
      <c r="X32" s="100"/>
      <c r="Y32" s="100"/>
      <c r="Z32" s="100"/>
    </row>
    <row r="33" spans="2:26">
      <c r="B33" s="234" t="s">
        <v>373</v>
      </c>
      <c r="C33" s="18"/>
      <c r="E33" s="103"/>
      <c r="F33" s="103"/>
      <c r="G33" s="103"/>
      <c r="H33" s="103"/>
      <c r="I33" s="101"/>
      <c r="J33" s="19"/>
      <c r="K33" s="19"/>
      <c r="L33" s="101"/>
      <c r="M33" s="101"/>
      <c r="V33" s="102"/>
    </row>
    <row r="34" spans="2:26">
      <c r="B34" s="234"/>
      <c r="C34" s="18"/>
      <c r="E34" s="103"/>
      <c r="F34" s="103"/>
      <c r="G34" s="103"/>
      <c r="H34" s="103"/>
      <c r="I34" s="101"/>
      <c r="J34" s="19"/>
      <c r="K34" s="19"/>
      <c r="L34" s="101"/>
      <c r="M34" s="101"/>
      <c r="V34" s="102"/>
    </row>
    <row r="35" spans="2:26" s="288" customFormat="1" ht="15.6">
      <c r="B35" s="285" t="s">
        <v>376</v>
      </c>
      <c r="C35" s="286"/>
      <c r="D35" s="286"/>
      <c r="E35" s="286"/>
      <c r="F35" s="286"/>
      <c r="G35" s="286"/>
      <c r="H35" s="286"/>
      <c r="I35" s="286"/>
      <c r="J35" s="286"/>
      <c r="K35" s="286"/>
      <c r="L35" s="287"/>
      <c r="M35" s="287"/>
      <c r="N35" s="286"/>
      <c r="O35" s="286"/>
      <c r="P35" s="286"/>
      <c r="Q35" s="286"/>
      <c r="R35" s="286"/>
      <c r="S35" s="286"/>
      <c r="T35" s="286"/>
      <c r="U35" s="286"/>
      <c r="V35" s="286"/>
      <c r="W35" s="286"/>
      <c r="X35" s="286"/>
      <c r="Y35" s="286"/>
      <c r="Z35" s="286"/>
    </row>
    <row r="36" spans="2:26">
      <c r="B36" s="236"/>
      <c r="C36" s="105"/>
      <c r="D36" s="222"/>
      <c r="E36" s="105"/>
      <c r="F36" s="105"/>
      <c r="G36" s="105"/>
      <c r="H36" s="105"/>
      <c r="I36" s="105"/>
      <c r="J36" s="103"/>
      <c r="K36" s="103"/>
      <c r="L36" s="101"/>
      <c r="M36" s="101"/>
      <c r="N36" s="222"/>
      <c r="O36" s="222"/>
      <c r="P36" s="222"/>
      <c r="Q36" s="222"/>
      <c r="R36" s="222"/>
      <c r="S36" s="222"/>
      <c r="T36" s="222"/>
      <c r="U36" s="222"/>
      <c r="V36" s="222"/>
      <c r="W36" s="222"/>
      <c r="X36" s="222"/>
      <c r="Y36" s="222"/>
      <c r="Z36" s="222"/>
    </row>
    <row r="37" spans="2:26">
      <c r="B37" s="405" t="s">
        <v>258</v>
      </c>
      <c r="C37" s="295" t="s">
        <v>53</v>
      </c>
      <c r="D37" s="294" t="s">
        <v>2</v>
      </c>
      <c r="E37" s="296" t="s">
        <v>51</v>
      </c>
      <c r="H37" s="141"/>
      <c r="I37" s="141"/>
      <c r="J37" s="103"/>
      <c r="K37" s="103"/>
      <c r="L37" s="101"/>
      <c r="N37" s="101"/>
      <c r="O37" s="101"/>
      <c r="P37" s="101"/>
    </row>
    <row r="38" spans="2:26" ht="15.6">
      <c r="B38" s="406" t="s">
        <v>159</v>
      </c>
      <c r="C38" s="491" t="s">
        <v>136</v>
      </c>
      <c r="D38" s="105" t="s">
        <v>18</v>
      </c>
      <c r="E38" s="101" t="s">
        <v>160</v>
      </c>
      <c r="H38" s="142"/>
      <c r="I38" s="141"/>
      <c r="J38" s="103"/>
      <c r="L38" s="101"/>
      <c r="N38" s="101"/>
      <c r="O38" s="101"/>
      <c r="P38" s="101"/>
      <c r="T38" s="14" t="str">
        <f>IF(AND(H10="n/a",ISNUMBER($C$41),J10="n/a",ISNUMBER($C$42)),"PU"," ")</f>
        <v xml:space="preserve"> </v>
      </c>
    </row>
    <row r="39" spans="2:26" ht="15.6">
      <c r="B39" s="407" t="s">
        <v>161</v>
      </c>
      <c r="C39" s="491"/>
      <c r="D39" s="139" t="s">
        <v>192</v>
      </c>
      <c r="E39" s="101" t="s">
        <v>42</v>
      </c>
      <c r="H39" s="142"/>
      <c r="I39" s="141"/>
      <c r="J39" s="103"/>
      <c r="L39" s="101"/>
      <c r="N39" s="101"/>
      <c r="O39" s="101"/>
      <c r="P39" s="101"/>
    </row>
    <row r="40" spans="2:26">
      <c r="B40" s="406" t="s">
        <v>17</v>
      </c>
      <c r="C40" s="491"/>
      <c r="D40" s="105" t="s">
        <v>19</v>
      </c>
      <c r="E40" s="234" t="s">
        <v>375</v>
      </c>
      <c r="H40" s="142"/>
      <c r="I40" s="141"/>
      <c r="J40" s="103"/>
      <c r="L40" s="101"/>
      <c r="N40" s="101"/>
      <c r="O40" s="101"/>
      <c r="P40" s="101"/>
    </row>
    <row r="41" spans="2:26" ht="15.6">
      <c r="B41" s="407" t="s">
        <v>92</v>
      </c>
      <c r="C41" s="281">
        <f>Mam3_Pveg</f>
        <v>0.8</v>
      </c>
      <c r="D41" s="105" t="s">
        <v>15</v>
      </c>
      <c r="E41" s="101" t="s">
        <v>20</v>
      </c>
      <c r="H41" s="142"/>
      <c r="I41" s="141"/>
      <c r="J41" s="103"/>
      <c r="L41" s="103"/>
      <c r="M41" s="103"/>
    </row>
    <row r="42" spans="2:26" ht="15.6">
      <c r="B42" s="408" t="s">
        <v>308</v>
      </c>
      <c r="C42" s="281">
        <f>Mam3_Pinv</f>
        <v>0.2</v>
      </c>
      <c r="D42" s="105" t="s">
        <v>15</v>
      </c>
      <c r="E42" s="238" t="s">
        <v>469</v>
      </c>
      <c r="H42" s="142"/>
      <c r="I42" s="141"/>
      <c r="J42" s="103"/>
      <c r="L42" s="103"/>
    </row>
    <row r="43" spans="2:26" ht="15.6">
      <c r="B43" s="407" t="s">
        <v>93</v>
      </c>
      <c r="C43" s="281">
        <f>Mam3_Pso</f>
        <v>0.02</v>
      </c>
      <c r="D43" s="105" t="s">
        <v>15</v>
      </c>
      <c r="E43" s="238" t="s">
        <v>384</v>
      </c>
      <c r="H43" s="142"/>
      <c r="I43" s="140"/>
      <c r="J43" s="103"/>
      <c r="L43" s="103"/>
    </row>
    <row r="44" spans="2:26" ht="15.6">
      <c r="B44" s="407" t="s">
        <v>133</v>
      </c>
      <c r="C44" s="144">
        <f>Mam3_fir</f>
        <v>4.9712759746982013E-3</v>
      </c>
      <c r="D44" s="105" t="s">
        <v>21</v>
      </c>
      <c r="E44" s="360" t="s">
        <v>525</v>
      </c>
      <c r="F44" s="24"/>
      <c r="G44" s="24"/>
      <c r="H44" s="140"/>
      <c r="I44" s="140"/>
      <c r="J44" s="103"/>
      <c r="L44" s="103"/>
    </row>
    <row r="45" spans="2:26" ht="15.6">
      <c r="B45" s="407" t="s">
        <v>132</v>
      </c>
      <c r="C45" s="144">
        <f>Mam3_FIRw</f>
        <v>1.2060723751053539E-2</v>
      </c>
      <c r="D45" s="105" t="s">
        <v>21</v>
      </c>
      <c r="E45" s="101" t="s">
        <v>267</v>
      </c>
      <c r="H45" s="142"/>
      <c r="I45" s="140"/>
      <c r="J45" s="103"/>
      <c r="L45" s="103"/>
    </row>
    <row r="46" spans="2:26">
      <c r="B46" s="407" t="s">
        <v>14</v>
      </c>
      <c r="C46" s="281">
        <f>Mam3_AUF</f>
        <v>1</v>
      </c>
      <c r="D46" s="105" t="s">
        <v>15</v>
      </c>
      <c r="E46" s="101" t="s">
        <v>25</v>
      </c>
      <c r="H46" s="142"/>
      <c r="I46" s="141"/>
      <c r="J46" s="103"/>
      <c r="L46" s="103"/>
    </row>
    <row r="47" spans="2:26">
      <c r="B47" s="407" t="s">
        <v>5</v>
      </c>
      <c r="C47" s="281">
        <f>mam3_bw</f>
        <v>3.3000000000000002E-2</v>
      </c>
      <c r="D47" s="105" t="s">
        <v>26</v>
      </c>
      <c r="E47" s="101" t="s">
        <v>6</v>
      </c>
      <c r="H47" s="142"/>
      <c r="I47" s="141"/>
      <c r="J47" s="103"/>
      <c r="K47" s="103"/>
      <c r="L47" s="103"/>
    </row>
    <row r="48" spans="2:26">
      <c r="B48" s="407" t="s">
        <v>388</v>
      </c>
      <c r="C48" s="281">
        <f>Mam3_dwi</f>
        <v>6.2700000000000004E-3</v>
      </c>
      <c r="D48" s="105" t="s">
        <v>390</v>
      </c>
      <c r="E48" s="433" t="s">
        <v>389</v>
      </c>
      <c r="I48" s="103"/>
      <c r="K48" s="103"/>
      <c r="N48" s="103"/>
    </row>
    <row r="49" spans="2:20">
      <c r="B49" s="297"/>
      <c r="C49" s="281"/>
      <c r="D49" s="105"/>
      <c r="E49" s="101"/>
      <c r="I49" s="103"/>
      <c r="K49" s="103"/>
      <c r="N49" s="103"/>
    </row>
    <row r="50" spans="2:20">
      <c r="B50" s="238" t="s">
        <v>383</v>
      </c>
      <c r="C50" s="101"/>
      <c r="D50" s="103"/>
      <c r="I50" s="103"/>
      <c r="J50" s="103"/>
    </row>
    <row r="51" spans="2:20">
      <c r="B51" s="487" t="s">
        <v>461</v>
      </c>
      <c r="C51" s="487"/>
      <c r="D51" s="487"/>
      <c r="E51" s="487"/>
      <c r="F51" s="487"/>
      <c r="G51" s="487"/>
      <c r="H51" s="487"/>
      <c r="I51" s="487"/>
      <c r="J51" s="487"/>
      <c r="K51" s="487"/>
      <c r="L51" s="487"/>
      <c r="M51" s="487"/>
      <c r="N51" s="487"/>
      <c r="O51" s="487"/>
      <c r="P51" s="487"/>
      <c r="Q51" s="487"/>
      <c r="R51" s="487"/>
      <c r="S51" s="487"/>
      <c r="T51" s="487"/>
    </row>
    <row r="52" spans="2:20">
      <c r="B52" s="487"/>
      <c r="C52" s="487"/>
      <c r="D52" s="487"/>
      <c r="E52" s="487"/>
      <c r="F52" s="487"/>
      <c r="G52" s="487"/>
      <c r="H52" s="487"/>
      <c r="I52" s="487"/>
      <c r="J52" s="487"/>
      <c r="K52" s="487"/>
      <c r="L52" s="487"/>
      <c r="M52" s="487"/>
      <c r="N52" s="487"/>
      <c r="O52" s="487"/>
      <c r="P52" s="487"/>
      <c r="Q52" s="487"/>
      <c r="R52" s="487"/>
      <c r="S52" s="487"/>
      <c r="T52" s="487"/>
    </row>
    <row r="53" spans="2:20">
      <c r="B53" s="284"/>
      <c r="C53" s="284"/>
      <c r="D53" s="284"/>
      <c r="E53" s="284"/>
      <c r="F53" s="284"/>
      <c r="G53" s="284"/>
      <c r="H53" s="284"/>
      <c r="I53" s="284"/>
      <c r="J53" s="284"/>
      <c r="K53" s="284"/>
      <c r="L53" s="284"/>
      <c r="M53" s="284"/>
      <c r="N53" s="284"/>
      <c r="O53" s="284"/>
      <c r="P53" s="284"/>
      <c r="Q53" s="284"/>
      <c r="R53" s="284"/>
      <c r="S53" s="284"/>
      <c r="T53" s="284"/>
    </row>
    <row r="54" spans="2:20">
      <c r="B54" s="31" t="s">
        <v>22</v>
      </c>
    </row>
    <row r="55" spans="2:20">
      <c r="B55" s="16" t="s">
        <v>45</v>
      </c>
      <c r="C55" s="14" t="s">
        <v>296</v>
      </c>
    </row>
    <row r="56" spans="2:20">
      <c r="B56" s="16" t="s">
        <v>47</v>
      </c>
      <c r="C56" s="206" t="s">
        <v>298</v>
      </c>
    </row>
    <row r="57" spans="2:20">
      <c r="B57" s="13" t="s">
        <v>259</v>
      </c>
      <c r="C57" s="14" t="s">
        <v>294</v>
      </c>
    </row>
    <row r="58" spans="2:20">
      <c r="B58" s="13" t="s">
        <v>261</v>
      </c>
      <c r="C58" s="14" t="s">
        <v>295</v>
      </c>
    </row>
    <row r="59" spans="2:20">
      <c r="B59" s="14" t="s">
        <v>223</v>
      </c>
    </row>
    <row r="60" spans="2:20">
      <c r="B60" s="159" t="s">
        <v>50</v>
      </c>
    </row>
  </sheetData>
  <mergeCells count="17">
    <mergeCell ref="C6:C8"/>
    <mergeCell ref="D6:E6"/>
    <mergeCell ref="B51:T52"/>
    <mergeCell ref="C38:C40"/>
    <mergeCell ref="H6:I6"/>
    <mergeCell ref="J6:K6"/>
    <mergeCell ref="T6:T7"/>
    <mergeCell ref="S6:S7"/>
    <mergeCell ref="L6:L7"/>
    <mergeCell ref="M6:M7"/>
    <mergeCell ref="N6:N7"/>
    <mergeCell ref="R6:R7"/>
    <mergeCell ref="O6:O7"/>
    <mergeCell ref="P6:P7"/>
    <mergeCell ref="Q6:Q7"/>
    <mergeCell ref="F6:G6"/>
    <mergeCell ref="B6:B8"/>
  </mergeCells>
  <conditionalFormatting sqref="F7:F20 F22:F25 F27 F29:F30">
    <cfRule type="expression" dxfId="52" priority="54">
      <formula>ISBLANK(surface_water)</formula>
    </cfRule>
  </conditionalFormatting>
  <conditionalFormatting sqref="G7:G20 G22:G25 G27 G29:G30">
    <cfRule type="expression" dxfId="51" priority="53">
      <formula>ISBLANK(surface_water)</formula>
    </cfRule>
  </conditionalFormatting>
  <conditionalFormatting sqref="F6:G6">
    <cfRule type="expression" dxfId="50" priority="52">
      <formula>ISBLANK(surface_water)</formula>
    </cfRule>
  </conditionalFormatting>
  <conditionalFormatting sqref="F21">
    <cfRule type="expression" dxfId="49" priority="34">
      <formula>ISBLANK(surface_water)</formula>
    </cfRule>
  </conditionalFormatting>
  <conditionalFormatting sqref="G21">
    <cfRule type="expression" dxfId="48" priority="33">
      <formula>ISBLANK(surface_water)</formula>
    </cfRule>
  </conditionalFormatting>
  <conditionalFormatting sqref="F26">
    <cfRule type="expression" dxfId="47" priority="31">
      <formula>ISBLANK(surface_water)</formula>
    </cfRule>
  </conditionalFormatting>
  <conditionalFormatting sqref="G26">
    <cfRule type="expression" dxfId="46" priority="30">
      <formula>ISBLANK(surface_water)</formula>
    </cfRule>
  </conditionalFormatting>
  <conditionalFormatting sqref="F28">
    <cfRule type="expression" dxfId="45" priority="28">
      <formula>ISBLANK(surface_water)</formula>
    </cfRule>
  </conditionalFormatting>
  <conditionalFormatting sqref="G28">
    <cfRule type="expression" dxfId="44" priority="27">
      <formula>ISBLANK(surface_water)</formula>
    </cfRule>
  </conditionalFormatting>
  <conditionalFormatting sqref="E48">
    <cfRule type="expression" dxfId="43" priority="26">
      <formula>ISBLANK(surface_water)</formula>
    </cfRule>
  </conditionalFormatting>
  <conditionalFormatting sqref="D10:O30 R10:R30 T10:T30">
    <cfRule type="cellIs" dxfId="42" priority="25" operator="equal">
      <formula>0</formula>
    </cfRule>
  </conditionalFormatting>
  <conditionalFormatting sqref="P10:Q20">
    <cfRule type="expression" dxfId="41" priority="24">
      <formula>AND(ISNUMBER(P10),P10&gt;1)</formula>
    </cfRule>
  </conditionalFormatting>
  <conditionalFormatting sqref="Q10:Q20">
    <cfRule type="expression" dxfId="40" priority="23">
      <formula>AND(ISNUMBER(Q10),Q10&gt;1)</formula>
    </cfRule>
  </conditionalFormatting>
  <conditionalFormatting sqref="P12:P20 P22:P25 P27 P29:P30">
    <cfRule type="expression" dxfId="39" priority="22">
      <formula>AND(ISNUMBER(P12),P12&gt;1)</formula>
    </cfRule>
  </conditionalFormatting>
  <conditionalFormatting sqref="Q12:Q20 Q22:Q25 Q27 Q29:Q30">
    <cfRule type="expression" dxfId="38" priority="21">
      <formula>AND(ISNUMBER(Q12),Q12&gt;1)</formula>
    </cfRule>
  </conditionalFormatting>
  <conditionalFormatting sqref="P10:Q30">
    <cfRule type="expression" dxfId="37" priority="20">
      <formula>"$P$10:$Q$30,&gt;1)"</formula>
    </cfRule>
  </conditionalFormatting>
  <conditionalFormatting sqref="P11">
    <cfRule type="expression" dxfId="36" priority="19">
      <formula>AND(ISNUMBER(P11),P11&gt;1)</formula>
    </cfRule>
  </conditionalFormatting>
  <conditionalFormatting sqref="Q11">
    <cfRule type="expression" dxfId="35" priority="18">
      <formula>AND(ISNUMBER(Q11),Q11&gt;1)</formula>
    </cfRule>
  </conditionalFormatting>
  <conditionalFormatting sqref="P11:Q11">
    <cfRule type="expression" dxfId="34" priority="17">
      <formula>"$P$10:$Q$30,&gt;1)"</formula>
    </cfRule>
  </conditionalFormatting>
  <conditionalFormatting sqref="P10:Q30">
    <cfRule type="cellIs" dxfId="33" priority="16" operator="equal">
      <formula>0</formula>
    </cfRule>
  </conditionalFormatting>
  <conditionalFormatting sqref="P22:Q25">
    <cfRule type="expression" dxfId="32" priority="15">
      <formula>AND(ISNUMBER(P22),P22&gt;1)</formula>
    </cfRule>
  </conditionalFormatting>
  <conditionalFormatting sqref="Q22:Q25">
    <cfRule type="expression" dxfId="31" priority="14">
      <formula>AND(ISNUMBER(Q22),Q22&gt;1)</formula>
    </cfRule>
  </conditionalFormatting>
  <conditionalFormatting sqref="P27:Q27">
    <cfRule type="expression" dxfId="30" priority="13">
      <formula>AND(ISNUMBER(P27),P27&gt;1)</formula>
    </cfRule>
  </conditionalFormatting>
  <conditionalFormatting sqref="Q27">
    <cfRule type="expression" dxfId="29" priority="12">
      <formula>AND(ISNUMBER(Q27),Q27&gt;1)</formula>
    </cfRule>
  </conditionalFormatting>
  <conditionalFormatting sqref="P29:Q30">
    <cfRule type="expression" dxfId="28" priority="11">
      <formula>AND(ISNUMBER(P29),P29&gt;1)</formula>
    </cfRule>
  </conditionalFormatting>
  <conditionalFormatting sqref="Q29:Q30">
    <cfRule type="expression" dxfId="27" priority="10">
      <formula>AND(ISNUMBER(Q29),Q29&gt;1)</formula>
    </cfRule>
  </conditionalFormatting>
  <conditionalFormatting sqref="S10:S30">
    <cfRule type="cellIs" dxfId="26" priority="9" operator="equal">
      <formula>0</formula>
    </cfRule>
  </conditionalFormatting>
  <conditionalFormatting sqref="S10:S20">
    <cfRule type="expression" dxfId="25" priority="8">
      <formula>AND(ISNUMBER(S10),S10&gt;1)</formula>
    </cfRule>
  </conditionalFormatting>
  <conditionalFormatting sqref="S10:S20">
    <cfRule type="expression" dxfId="24" priority="7">
      <formula>"$P$10:$Q$30,&gt;1)"</formula>
    </cfRule>
  </conditionalFormatting>
  <conditionalFormatting sqref="S22:S25">
    <cfRule type="expression" dxfId="23" priority="6">
      <formula>AND(ISNUMBER(S22),S22&gt;1)</formula>
    </cfRule>
  </conditionalFormatting>
  <conditionalFormatting sqref="S22:S25">
    <cfRule type="expression" dxfId="22" priority="5">
      <formula>"$P$10:$Q$30,&gt;1)"</formula>
    </cfRule>
  </conditionalFormatting>
  <conditionalFormatting sqref="S27">
    <cfRule type="expression" dxfId="21" priority="4">
      <formula>AND(ISNUMBER(S27),S27&gt;1)</formula>
    </cfRule>
  </conditionalFormatting>
  <conditionalFormatting sqref="S27">
    <cfRule type="expression" dxfId="20" priority="3">
      <formula>"$P$10:$Q$30,&gt;1)"</formula>
    </cfRule>
  </conditionalFormatting>
  <conditionalFormatting sqref="S29:S30">
    <cfRule type="expression" dxfId="19" priority="2">
      <formula>AND(ISNUMBER(S29),S29&gt;1)</formula>
    </cfRule>
  </conditionalFormatting>
  <conditionalFormatting sqref="S29:S30">
    <cfRule type="expression" dxfId="18" priority="1">
      <formula>"$P$10:$Q$30,&gt;1)"</formula>
    </cfRule>
  </conditionalFormatting>
  <pageMargins left="0.7" right="0.7" top="0.75" bottom="0.75" header="0.3" footer="0.3"/>
  <pageSetup paperSize="119" scale="22" orientation="landscape" verticalDpi="1200" r:id="rId1"/>
  <headerFooter>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D3B4D-65AE-4817-B1B4-A1F51E25709B}">
  <sheetPr>
    <tabColor rgb="FFFFCC99"/>
    <pageSetUpPr fitToPage="1"/>
  </sheetPr>
  <dimension ref="B2:U34"/>
  <sheetViews>
    <sheetView view="pageBreakPreview" zoomScale="85" zoomScaleNormal="100" zoomScaleSheetLayoutView="85" workbookViewId="0">
      <selection activeCell="B5" sqref="B5:B7"/>
    </sheetView>
  </sheetViews>
  <sheetFormatPr defaultColWidth="8.77734375" defaultRowHeight="14.4" outlineLevelCol="1"/>
  <cols>
    <col min="1" max="1" width="3.21875" customWidth="1"/>
    <col min="2" max="2" width="12" customWidth="1"/>
    <col min="3" max="14" width="9.21875" customWidth="1"/>
    <col min="15" max="20" width="10.44140625" style="169" customWidth="1" outlineLevel="1"/>
    <col min="21" max="21" width="2.77734375" customWidth="1"/>
  </cols>
  <sheetData>
    <row r="2" spans="2:21">
      <c r="B2" s="34" t="str">
        <f>Site</f>
        <v>Test Site #1</v>
      </c>
    </row>
    <row r="3" spans="2:21">
      <c r="B3" s="50" t="str">
        <f>Title14</f>
        <v xml:space="preserve">Table 14: Wildlife Hazard Quotient Summary </v>
      </c>
    </row>
    <row r="4" spans="2:21">
      <c r="B4" s="149"/>
    </row>
    <row r="5" spans="2:21">
      <c r="B5" s="497" t="s">
        <v>52</v>
      </c>
      <c r="C5" s="471" t="s">
        <v>270</v>
      </c>
      <c r="D5" s="471"/>
      <c r="E5" s="471"/>
      <c r="F5" s="471"/>
      <c r="G5" s="471"/>
      <c r="H5" s="471"/>
      <c r="I5" s="471"/>
      <c r="J5" s="471"/>
      <c r="K5" s="471"/>
      <c r="L5" s="471"/>
      <c r="M5" s="471"/>
      <c r="N5" s="471"/>
      <c r="O5" s="495" t="s">
        <v>271</v>
      </c>
      <c r="P5" s="495"/>
      <c r="Q5" s="495"/>
      <c r="R5" s="495"/>
      <c r="S5" s="495"/>
      <c r="T5" s="495"/>
    </row>
    <row r="6" spans="2:21" s="169" customFormat="1" ht="44.25" customHeight="1">
      <c r="B6" s="497"/>
      <c r="C6" s="495" t="str">
        <f>Bird1</f>
        <v>Willow Ptarmigan</v>
      </c>
      <c r="D6" s="495"/>
      <c r="E6" s="495" t="str">
        <f>Bird2</f>
        <v>American Woodcock</v>
      </c>
      <c r="F6" s="495"/>
      <c r="G6" s="495" t="str">
        <f>Bird3</f>
        <v>Florida Scrub-Jay (T&amp;E)</v>
      </c>
      <c r="H6" s="495"/>
      <c r="I6" s="495" t="str">
        <f>Mam_1</f>
        <v>Eastern Cottontail</v>
      </c>
      <c r="J6" s="495"/>
      <c r="K6" s="495" t="str">
        <f>Mam_2</f>
        <v>Short-Tailed Shrew</v>
      </c>
      <c r="L6" s="495"/>
      <c r="M6" s="495" t="str">
        <f>Mam_3</f>
        <v>Anastasia Beach Deermouse (T&amp;E)</v>
      </c>
      <c r="N6" s="495"/>
      <c r="O6" s="495" t="str">
        <f>Bird1</f>
        <v>Willow Ptarmigan</v>
      </c>
      <c r="P6" s="495" t="str">
        <f>Bird2</f>
        <v>American Woodcock</v>
      </c>
      <c r="Q6" s="495" t="str">
        <f>Bird3</f>
        <v>Florida Scrub-Jay (T&amp;E)</v>
      </c>
      <c r="R6" s="495" t="str">
        <f>Mam_1</f>
        <v>Eastern Cottontail</v>
      </c>
      <c r="S6" s="495" t="str">
        <f>Mam_2</f>
        <v>Short-Tailed Shrew</v>
      </c>
      <c r="T6" s="495" t="str">
        <f>Mam_3</f>
        <v>Anastasia Beach Deermouse (T&amp;E)</v>
      </c>
    </row>
    <row r="7" spans="2:21" ht="28.5" customHeight="1">
      <c r="B7" s="497"/>
      <c r="C7" s="147" t="s">
        <v>291</v>
      </c>
      <c r="D7" s="147" t="s">
        <v>292</v>
      </c>
      <c r="E7" s="197" t="s">
        <v>291</v>
      </c>
      <c r="F7" s="197" t="s">
        <v>292</v>
      </c>
      <c r="G7" s="197" t="s">
        <v>291</v>
      </c>
      <c r="H7" s="197" t="s">
        <v>292</v>
      </c>
      <c r="I7" s="197" t="s">
        <v>291</v>
      </c>
      <c r="J7" s="197" t="s">
        <v>292</v>
      </c>
      <c r="K7" s="197" t="s">
        <v>291</v>
      </c>
      <c r="L7" s="197" t="s">
        <v>292</v>
      </c>
      <c r="M7" s="197" t="s">
        <v>291</v>
      </c>
      <c r="N7" s="197" t="s">
        <v>292</v>
      </c>
      <c r="O7" s="495"/>
      <c r="P7" s="495"/>
      <c r="Q7" s="495"/>
      <c r="R7" s="495"/>
      <c r="S7" s="495"/>
      <c r="T7" s="495"/>
    </row>
    <row r="8" spans="2:21">
      <c r="B8" s="170" t="s">
        <v>75</v>
      </c>
      <c r="C8" s="125"/>
      <c r="D8" s="67"/>
      <c r="E8" s="67"/>
      <c r="F8" s="67"/>
      <c r="G8" s="67"/>
      <c r="H8" s="67"/>
      <c r="I8" s="67"/>
      <c r="J8" s="67"/>
      <c r="K8" s="67"/>
      <c r="L8" s="67"/>
      <c r="M8" s="67"/>
      <c r="N8" s="67"/>
      <c r="O8" s="67"/>
      <c r="P8" s="67"/>
      <c r="Q8" s="67"/>
      <c r="R8" s="67"/>
      <c r="S8" s="67"/>
      <c r="T8" s="84"/>
      <c r="U8" s="404"/>
    </row>
    <row r="9" spans="2:21">
      <c r="B9" s="79" t="s">
        <v>59</v>
      </c>
      <c r="C9" s="96" t="str">
        <f>Bird1!P10</f>
        <v>--</v>
      </c>
      <c r="D9" s="96" t="str">
        <f>Bird1!Q10</f>
        <v>--</v>
      </c>
      <c r="E9" s="96" t="str">
        <f>Bird2!P10</f>
        <v>--</v>
      </c>
      <c r="F9" s="96" t="str">
        <f>Bird2!Q10</f>
        <v>--</v>
      </c>
      <c r="G9" s="96" t="str">
        <f>Bird3!P10</f>
        <v>--</v>
      </c>
      <c r="H9" s="96" t="str">
        <f>Bird3!Q10</f>
        <v>--</v>
      </c>
      <c r="I9" s="96">
        <f>'Mam1'!P10</f>
        <v>1.6592718332631256E-4</v>
      </c>
      <c r="J9" s="96" t="str">
        <f>'Mam1'!Q10</f>
        <v>--</v>
      </c>
      <c r="K9" s="96">
        <f>'Mam2'!P10</f>
        <v>1.6329415669336441E-5</v>
      </c>
      <c r="L9" s="96" t="str">
        <f>'Mam2'!Q10</f>
        <v>--</v>
      </c>
      <c r="M9" s="96">
        <f>'Mam3'!P10</f>
        <v>2.1457662983640025E-4</v>
      </c>
      <c r="N9" s="96" t="str">
        <f>'Mam3'!Q10</f>
        <v>--</v>
      </c>
      <c r="O9" s="96">
        <f>Bird1!S10</f>
        <v>3.9405217819715984E-3</v>
      </c>
      <c r="P9" s="96">
        <f>Bird2!S10</f>
        <v>7.9481456155627319E-4</v>
      </c>
      <c r="Q9" s="96">
        <f>Bird3!S10</f>
        <v>1.6571324929967829E-3</v>
      </c>
      <c r="R9" s="96" t="str">
        <f>'Mam1'!S10</f>
        <v>--</v>
      </c>
      <c r="S9" s="96" t="str">
        <f>'Mam2'!S10</f>
        <v>--</v>
      </c>
      <c r="T9" s="96" t="str">
        <f>'Mam3'!S10</f>
        <v>--</v>
      </c>
    </row>
    <row r="10" spans="2:21">
      <c r="B10" s="80" t="s">
        <v>60</v>
      </c>
      <c r="C10" s="96" t="str">
        <f>Bird1!P11</f>
        <v>--</v>
      </c>
      <c r="D10" s="96" t="str">
        <f>Bird1!Q11</f>
        <v>--</v>
      </c>
      <c r="E10" s="96" t="str">
        <f>Bird2!P11</f>
        <v>--</v>
      </c>
      <c r="F10" s="96" t="str">
        <f>Bird2!Q11</f>
        <v>--</v>
      </c>
      <c r="G10" s="96" t="str">
        <f>Bird3!P11</f>
        <v>--</v>
      </c>
      <c r="H10" s="96" t="str">
        <f>Bird3!Q11</f>
        <v>--</v>
      </c>
      <c r="I10" s="96" t="str">
        <f>'Mam1'!P11</f>
        <v>--</v>
      </c>
      <c r="J10" s="96" t="str">
        <f>'Mam1'!Q11</f>
        <v>--</v>
      </c>
      <c r="K10" s="96" t="str">
        <f>'Mam2'!P11</f>
        <v>--</v>
      </c>
      <c r="L10" s="96" t="str">
        <f>'Mam2'!Q11</f>
        <v>--</v>
      </c>
      <c r="M10" s="96" t="str">
        <f>'Mam3'!P11</f>
        <v>--</v>
      </c>
      <c r="N10" s="96" t="str">
        <f>'Mam3'!Q11</f>
        <v>--</v>
      </c>
      <c r="O10" s="96">
        <f>Bird1!S11</f>
        <v>1.1640475329950193E-2</v>
      </c>
      <c r="P10" s="96">
        <f>Bird2!S11</f>
        <v>2.3702280037376632E-3</v>
      </c>
      <c r="Q10" s="96">
        <f>Bird3!S11</f>
        <v>4.9137115873370083E-3</v>
      </c>
      <c r="R10" s="96" t="str">
        <f>'Mam1'!S11</f>
        <v>--</v>
      </c>
      <c r="S10" s="96" t="str">
        <f>'Mam2'!S11</f>
        <v>--</v>
      </c>
      <c r="T10" s="96" t="str">
        <f>'Mam3'!S11</f>
        <v>--</v>
      </c>
    </row>
    <row r="11" spans="2:21">
      <c r="B11" s="80" t="s">
        <v>61</v>
      </c>
      <c r="C11" s="96" t="str">
        <f>Bird1!P12</f>
        <v>--</v>
      </c>
      <c r="D11" s="96" t="str">
        <f>Bird1!Q12</f>
        <v>--</v>
      </c>
      <c r="E11" s="96" t="str">
        <f>Bird2!P12</f>
        <v>--</v>
      </c>
      <c r="F11" s="96" t="str">
        <f>Bird2!Q12</f>
        <v>--</v>
      </c>
      <c r="G11" s="96" t="str">
        <f>Bird3!P12</f>
        <v>--</v>
      </c>
      <c r="H11" s="96" t="str">
        <f>Bird3!Q12</f>
        <v>--</v>
      </c>
      <c r="I11" s="96">
        <f>'Mam1'!P12</f>
        <v>3.5470709510904551E-7</v>
      </c>
      <c r="J11" s="96">
        <f>'Mam1'!Q12</f>
        <v>5.320606426635683E-8</v>
      </c>
      <c r="K11" s="96">
        <f>'Mam2'!P12</f>
        <v>1.135791287058007E-6</v>
      </c>
      <c r="L11" s="96">
        <f>'Mam2'!Q12</f>
        <v>1.7036869305870103E-7</v>
      </c>
      <c r="M11" s="96">
        <f>'Mam3'!P12</f>
        <v>4.5911375657048961E-7</v>
      </c>
      <c r="N11" s="96">
        <f>'Mam3'!Q12</f>
        <v>6.886706348557345E-8</v>
      </c>
      <c r="O11" s="96">
        <f>Bird1!S12</f>
        <v>1.2933168298773954E-6</v>
      </c>
      <c r="P11" s="96">
        <f>Bird2!S12</f>
        <v>1.4932773217080739E-5</v>
      </c>
      <c r="Q11" s="96">
        <f>Bird3!S12</f>
        <v>2.5964717013521186E-6</v>
      </c>
      <c r="R11" s="96" t="str">
        <f>'Mam1'!S12</f>
        <v>--</v>
      </c>
      <c r="S11" s="96" t="str">
        <f>'Mam2'!S12</f>
        <v>--</v>
      </c>
      <c r="T11" s="96" t="str">
        <f>'Mam3'!S12</f>
        <v>--</v>
      </c>
    </row>
    <row r="12" spans="2:21">
      <c r="B12" s="80" t="s">
        <v>62</v>
      </c>
      <c r="C12" s="96" t="str">
        <f>Bird1!P13</f>
        <v>--</v>
      </c>
      <c r="D12" s="96" t="str">
        <f>Bird1!Q13</f>
        <v>--</v>
      </c>
      <c r="E12" s="96" t="str">
        <f>Bird2!P13</f>
        <v>--</v>
      </c>
      <c r="F12" s="96" t="str">
        <f>Bird2!Q13</f>
        <v>--</v>
      </c>
      <c r="G12" s="96" t="str">
        <f>Bird3!P13</f>
        <v>--</v>
      </c>
      <c r="H12" s="96" t="str">
        <f>Bird3!Q13</f>
        <v>--</v>
      </c>
      <c r="I12" s="96" t="str">
        <f>'Mam1'!P13</f>
        <v>--</v>
      </c>
      <c r="J12" s="96" t="str">
        <f>'Mam1'!Q13</f>
        <v>--</v>
      </c>
      <c r="K12" s="96" t="str">
        <f>'Mam2'!P13</f>
        <v>--</v>
      </c>
      <c r="L12" s="96" t="str">
        <f>'Mam2'!Q13</f>
        <v>--</v>
      </c>
      <c r="M12" s="96" t="str">
        <f>'Mam3'!P13</f>
        <v>--</v>
      </c>
      <c r="N12" s="96" t="str">
        <f>'Mam3'!Q13</f>
        <v>--</v>
      </c>
      <c r="O12" s="96">
        <f>Bird1!S13</f>
        <v>8.5074695613651284E-4</v>
      </c>
      <c r="P12" s="96">
        <f>Bird2!S13</f>
        <v>3.6568287684038089E-4</v>
      </c>
      <c r="Q12" s="96">
        <f>Bird3!S13</f>
        <v>4.221308329281068E-4</v>
      </c>
      <c r="R12" s="96" t="str">
        <f>'Mam1'!S13</f>
        <v>--</v>
      </c>
      <c r="S12" s="96" t="str">
        <f>'Mam2'!S13</f>
        <v>--</v>
      </c>
      <c r="T12" s="96" t="str">
        <f>'Mam3'!S13</f>
        <v>--</v>
      </c>
    </row>
    <row r="13" spans="2:21">
      <c r="B13" s="80" t="s">
        <v>38</v>
      </c>
      <c r="C13" s="96">
        <f>Bird1!P14</f>
        <v>4.4181686361868966E-6</v>
      </c>
      <c r="D13" s="96" t="str">
        <f>Bird1!Q14</f>
        <v>--</v>
      </c>
      <c r="E13" s="96">
        <f>Bird2!P14</f>
        <v>3.8329077760976747E-5</v>
      </c>
      <c r="F13" s="96" t="str">
        <f>Bird2!Q14</f>
        <v>--</v>
      </c>
      <c r="G13" s="96">
        <f>Bird3!P14</f>
        <v>1.502259340347492E-6</v>
      </c>
      <c r="H13" s="96" t="str">
        <f>Bird3!Q14</f>
        <v>--</v>
      </c>
      <c r="I13" s="96">
        <f>'Mam1'!P14</f>
        <v>1.2339911243171418E-5</v>
      </c>
      <c r="J13" s="96">
        <f>'Mam1'!Q14</f>
        <v>1.1458489011516318E-6</v>
      </c>
      <c r="K13" s="96">
        <f>'Mam2'!P14</f>
        <v>1.2151253408505948E-5</v>
      </c>
      <c r="L13" s="96">
        <f>'Mam2'!Q14</f>
        <v>1.128330673646981E-6</v>
      </c>
      <c r="M13" s="96">
        <f>'Mam3'!P14</f>
        <v>1.0719685157121937E-5</v>
      </c>
      <c r="N13" s="96">
        <f>'Mam3'!Q14</f>
        <v>9.953993360184657E-7</v>
      </c>
      <c r="O13" s="96" t="str">
        <f>Bird1!S14</f>
        <v>--</v>
      </c>
      <c r="P13" s="96" t="str">
        <f>Bird2!S14</f>
        <v>--</v>
      </c>
      <c r="Q13" s="96" t="str">
        <f>Bird3!S14</f>
        <v>--</v>
      </c>
      <c r="R13" s="96" t="str">
        <f>'Mam1'!S14</f>
        <v>--</v>
      </c>
      <c r="S13" s="96" t="str">
        <f>'Mam2'!S14</f>
        <v>--</v>
      </c>
      <c r="T13" s="96" t="str">
        <f>'Mam3'!S14</f>
        <v>--</v>
      </c>
    </row>
    <row r="14" spans="2:21">
      <c r="B14" s="80" t="s">
        <v>63</v>
      </c>
      <c r="C14" s="96" t="str">
        <f>Bird1!P15</f>
        <v>--</v>
      </c>
      <c r="D14" s="96" t="str">
        <f>Bird1!Q15</f>
        <v>--</v>
      </c>
      <c r="E14" s="96" t="str">
        <f>Bird2!P15</f>
        <v>--</v>
      </c>
      <c r="F14" s="96" t="str">
        <f>Bird2!Q15</f>
        <v>--</v>
      </c>
      <c r="G14" s="96" t="str">
        <f>Bird3!P15</f>
        <v>--</v>
      </c>
      <c r="H14" s="96" t="str">
        <f>Bird3!Q15</f>
        <v>--</v>
      </c>
      <c r="I14" s="96">
        <f>'Mam1'!P15</f>
        <v>9.9695868364096138E-4</v>
      </c>
      <c r="J14" s="96">
        <f>'Mam1'!Q15</f>
        <v>7.5225064311090718E-4</v>
      </c>
      <c r="K14" s="96">
        <f>'Mam2'!P15</f>
        <v>1.2772745379602275E-2</v>
      </c>
      <c r="L14" s="96">
        <f>'Mam2'!Q15</f>
        <v>9.6376169682453518E-3</v>
      </c>
      <c r="M14" s="96">
        <f>'Mam3'!P15</f>
        <v>3.685557234109836E-3</v>
      </c>
      <c r="N14" s="96">
        <f>'Mam3'!Q15</f>
        <v>2.7809204584646943E-3</v>
      </c>
      <c r="O14" s="96" t="str">
        <f>Bird1!S15</f>
        <v>--</v>
      </c>
      <c r="P14" s="96" t="str">
        <f>Bird2!S15</f>
        <v>--</v>
      </c>
      <c r="Q14" s="96" t="str">
        <f>Bird3!S15</f>
        <v>--</v>
      </c>
      <c r="R14" s="96" t="str">
        <f>'Mam1'!S15</f>
        <v>--</v>
      </c>
      <c r="S14" s="96" t="str">
        <f>'Mam2'!S15</f>
        <v>--</v>
      </c>
      <c r="T14" s="96" t="str">
        <f>'Mam3'!S15</f>
        <v>--</v>
      </c>
    </row>
    <row r="15" spans="2:21">
      <c r="B15" s="80" t="s">
        <v>64</v>
      </c>
      <c r="C15" s="96">
        <f>Bird1!P16</f>
        <v>2.0060952800703808E-3</v>
      </c>
      <c r="D15" s="96" t="str">
        <f>Bird1!Q16</f>
        <v>--</v>
      </c>
      <c r="E15" s="96">
        <f>Bird2!P16</f>
        <v>3.3422623286722526E-2</v>
      </c>
      <c r="F15" s="96" t="str">
        <f>Bird2!Q16</f>
        <v>--</v>
      </c>
      <c r="G15" s="96">
        <f>Bird3!P16</f>
        <v>1.1999691962494383E-2</v>
      </c>
      <c r="H15" s="96" t="str">
        <f>Bird3!Q16</f>
        <v>--</v>
      </c>
      <c r="I15" s="96">
        <f>'Mam1'!P16</f>
        <v>2.5916665874523401E-3</v>
      </c>
      <c r="J15" s="96">
        <f>'Mam1'!Q16</f>
        <v>7.7749997623570194E-4</v>
      </c>
      <c r="K15" s="96">
        <f>'Mam2'!P16</f>
        <v>0.13373454295234466</v>
      </c>
      <c r="L15" s="96">
        <f>'Mam2'!Q16</f>
        <v>4.0120362885703392E-2</v>
      </c>
      <c r="M15" s="96">
        <f>'Mam3'!P16</f>
        <v>2.8660876923507213E-2</v>
      </c>
      <c r="N15" s="96">
        <f>'Mam3'!Q16</f>
        <v>8.5982630770521633E-3</v>
      </c>
      <c r="O15" s="96" t="str">
        <f>Bird1!S16</f>
        <v>--</v>
      </c>
      <c r="P15" s="96" t="str">
        <f>Bird2!S16</f>
        <v>--</v>
      </c>
      <c r="Q15" s="96" t="str">
        <f>Bird3!S16</f>
        <v>--</v>
      </c>
      <c r="R15" s="96">
        <f>'Mam1'!S16</f>
        <v>1.2148437128682842E-4</v>
      </c>
      <c r="S15" s="96">
        <f>'Mam2'!S16</f>
        <v>6.268806700891155E-3</v>
      </c>
      <c r="T15" s="96">
        <f>'Mam3'!S16</f>
        <v>1.3434786057894004E-3</v>
      </c>
    </row>
    <row r="16" spans="2:21">
      <c r="B16" s="80" t="s">
        <v>65</v>
      </c>
      <c r="C16" s="96" t="str">
        <f>Bird1!P17</f>
        <v>--</v>
      </c>
      <c r="D16" s="96" t="str">
        <f>Bird1!Q17</f>
        <v>--</v>
      </c>
      <c r="E16" s="96" t="str">
        <f>Bird2!P17</f>
        <v>--</v>
      </c>
      <c r="F16" s="96" t="str">
        <f>Bird2!Q17</f>
        <v>--</v>
      </c>
      <c r="G16" s="96" t="str">
        <f>Bird3!P17</f>
        <v>--</v>
      </c>
      <c r="H16" s="96" t="str">
        <f>Bird3!Q17</f>
        <v>--</v>
      </c>
      <c r="I16" s="96">
        <f>'Mam1'!P17</f>
        <v>2.3505720440002691E-3</v>
      </c>
      <c r="J16" s="96">
        <f>'Mam1'!Q17</f>
        <v>7.0517161320008076E-4</v>
      </c>
      <c r="K16" s="96">
        <f>'Mam2'!P17</f>
        <v>0.20042282901182856</v>
      </c>
      <c r="L16" s="96">
        <f>'Mam2'!Q17</f>
        <v>6.012684870354857E-2</v>
      </c>
      <c r="M16" s="96">
        <f>'Mam3'!P17</f>
        <v>4.1018854876101865E-2</v>
      </c>
      <c r="N16" s="96">
        <f>'Mam3'!Q17</f>
        <v>1.2305656462830558E-2</v>
      </c>
      <c r="O16" s="96" t="str">
        <f>Bird1!S17</f>
        <v>--</v>
      </c>
      <c r="P16" s="96" t="str">
        <f>Bird2!S17</f>
        <v>--</v>
      </c>
      <c r="Q16" s="96" t="str">
        <f>Bird3!S17</f>
        <v>--</v>
      </c>
      <c r="R16" s="96" t="str">
        <f>'Mam1'!S17</f>
        <v>--</v>
      </c>
      <c r="S16" s="96" t="str">
        <f>'Mam2'!S17</f>
        <v>--</v>
      </c>
      <c r="T16" s="96" t="str">
        <f>'Mam3'!S17</f>
        <v>--</v>
      </c>
    </row>
    <row r="17" spans="2:21">
      <c r="B17" s="80" t="s">
        <v>66</v>
      </c>
      <c r="C17" s="96" t="str">
        <f>Bird1!P18</f>
        <v>--</v>
      </c>
      <c r="D17" s="96" t="str">
        <f>Bird1!Q18</f>
        <v>--</v>
      </c>
      <c r="E17" s="96" t="str">
        <f>Bird2!P18</f>
        <v>--</v>
      </c>
      <c r="F17" s="96" t="str">
        <f>Bird2!Q18</f>
        <v>--</v>
      </c>
      <c r="G17" s="96" t="str">
        <f>Bird3!P18</f>
        <v>--</v>
      </c>
      <c r="H17" s="96" t="str">
        <f>Bird3!Q18</f>
        <v>--</v>
      </c>
      <c r="I17" s="96">
        <f>'Mam1'!P18</f>
        <v>1.5590205119625172E-3</v>
      </c>
      <c r="J17" s="96">
        <f>'Mam1'!Q18</f>
        <v>3.1180410239250344E-4</v>
      </c>
      <c r="K17" s="96">
        <f>'Mam2'!P18</f>
        <v>0.23496880220334351</v>
      </c>
      <c r="L17" s="96">
        <f>'Mam2'!Q18</f>
        <v>4.6993760440668705E-2</v>
      </c>
      <c r="M17" s="96">
        <f>'Mam3'!P18</f>
        <v>4.6581013094821766E-2</v>
      </c>
      <c r="N17" s="96">
        <f>'Mam3'!Q18</f>
        <v>9.3162026189643529E-3</v>
      </c>
      <c r="O17" s="96" t="str">
        <f>Bird1!S18</f>
        <v>--</v>
      </c>
      <c r="P17" s="96" t="str">
        <f>Bird2!S18</f>
        <v>--</v>
      </c>
      <c r="Q17" s="96" t="str">
        <f>Bird3!S18</f>
        <v>--</v>
      </c>
      <c r="R17" s="96" t="str">
        <f>'Mam1'!S18</f>
        <v>--</v>
      </c>
      <c r="S17" s="96" t="str">
        <f>'Mam2'!S18</f>
        <v>--</v>
      </c>
      <c r="T17" s="96" t="str">
        <f>'Mam3'!S18</f>
        <v>--</v>
      </c>
    </row>
    <row r="18" spans="2:21">
      <c r="B18" s="80" t="s">
        <v>67</v>
      </c>
      <c r="C18" s="96" t="str">
        <f>Bird1!P19</f>
        <v>--</v>
      </c>
      <c r="D18" s="96" t="str">
        <f>Bird1!Q19</f>
        <v>--</v>
      </c>
      <c r="E18" s="96" t="str">
        <f>Bird2!P19</f>
        <v>--</v>
      </c>
      <c r="F18" s="96" t="str">
        <f>Bird2!Q19</f>
        <v>--</v>
      </c>
      <c r="G18" s="96" t="str">
        <f>Bird3!P19</f>
        <v>--</v>
      </c>
      <c r="H18" s="96" t="str">
        <f>Bird3!Q19</f>
        <v>--</v>
      </c>
      <c r="I18" s="96" t="str">
        <f>'Mam1'!P19</f>
        <v>--</v>
      </c>
      <c r="J18" s="96" t="str">
        <f>'Mam1'!Q19</f>
        <v>--</v>
      </c>
      <c r="K18" s="96" t="str">
        <f>'Mam2'!P19</f>
        <v>--</v>
      </c>
      <c r="L18" s="96" t="str">
        <f>'Mam2'!Q19</f>
        <v>--</v>
      </c>
      <c r="M18" s="96" t="str">
        <f>'Mam3'!P19</f>
        <v>--</v>
      </c>
      <c r="N18" s="96" t="str">
        <f>'Mam3'!Q19</f>
        <v>--</v>
      </c>
      <c r="O18" s="96" t="str">
        <f>Bird1!S19</f>
        <v>--</v>
      </c>
      <c r="P18" s="96" t="str">
        <f>Bird2!S19</f>
        <v>--</v>
      </c>
      <c r="Q18" s="96" t="str">
        <f>Bird3!S19</f>
        <v>--</v>
      </c>
      <c r="R18" s="96" t="str">
        <f>'Mam1'!S19</f>
        <v>--</v>
      </c>
      <c r="S18" s="96" t="str">
        <f>'Mam2'!S19</f>
        <v>--</v>
      </c>
      <c r="T18" s="96" t="str">
        <f>'Mam3'!S19</f>
        <v>--</v>
      </c>
    </row>
    <row r="19" spans="2:21">
      <c r="B19" s="80" t="s">
        <v>68</v>
      </c>
      <c r="C19" s="96" t="str">
        <f>Bird1!P20</f>
        <v>--</v>
      </c>
      <c r="D19" s="96" t="str">
        <f>Bird1!Q20</f>
        <v>--</v>
      </c>
      <c r="E19" s="96" t="str">
        <f>Bird2!P20</f>
        <v>--</v>
      </c>
      <c r="F19" s="96" t="str">
        <f>Bird2!Q20</f>
        <v>--</v>
      </c>
      <c r="G19" s="96" t="str">
        <f>Bird3!P20</f>
        <v>--</v>
      </c>
      <c r="H19" s="96" t="str">
        <f>Bird3!Q20</f>
        <v>--</v>
      </c>
      <c r="I19" s="96">
        <f>'Mam1'!P20</f>
        <v>9.6178359624608396E-6</v>
      </c>
      <c r="J19" s="96">
        <f>'Mam1'!Q20</f>
        <v>2.885350788738252E-6</v>
      </c>
      <c r="K19" s="96">
        <f>'Mam2'!P20</f>
        <v>1.2665231572341001E-5</v>
      </c>
      <c r="L19" s="96">
        <f>'Mam2'!Q20</f>
        <v>3.7995694717023003E-6</v>
      </c>
      <c r="M19" s="96">
        <f>'Mam3'!P20</f>
        <v>8.2428537952270723E-6</v>
      </c>
      <c r="N19" s="96">
        <f>'Mam3'!Q20</f>
        <v>2.4728561385681219E-6</v>
      </c>
      <c r="O19" s="96" t="str">
        <f>Bird1!S20</f>
        <v>--</v>
      </c>
      <c r="P19" s="96" t="str">
        <f>Bird2!S20</f>
        <v>--</v>
      </c>
      <c r="Q19" s="96" t="str">
        <f>Bird3!S20</f>
        <v>--</v>
      </c>
      <c r="R19" s="96" t="str">
        <f>'Mam1'!S20</f>
        <v>--</v>
      </c>
      <c r="S19" s="96" t="str">
        <f>'Mam2'!S20</f>
        <v>--</v>
      </c>
      <c r="T19" s="96" t="str">
        <f>'Mam3'!S20</f>
        <v>--</v>
      </c>
    </row>
    <row r="20" spans="2:21">
      <c r="B20" s="82" t="s">
        <v>76</v>
      </c>
      <c r="C20" s="171"/>
      <c r="D20" s="172"/>
      <c r="E20" s="172"/>
      <c r="F20" s="172"/>
      <c r="G20" s="172"/>
      <c r="H20" s="172"/>
      <c r="I20" s="172"/>
      <c r="J20" s="172"/>
      <c r="K20" s="172"/>
      <c r="L20" s="172"/>
      <c r="M20" s="172"/>
      <c r="N20" s="67"/>
      <c r="O20" s="67"/>
      <c r="P20" s="172"/>
      <c r="Q20" s="172"/>
      <c r="R20" s="172"/>
      <c r="S20" s="172"/>
      <c r="T20" s="173"/>
      <c r="U20" s="404"/>
    </row>
    <row r="21" spans="2:21">
      <c r="B21" s="80" t="s">
        <v>69</v>
      </c>
      <c r="C21" s="96">
        <f>Bird1!P22</f>
        <v>8.1400344833194727E-5</v>
      </c>
      <c r="D21" s="96" t="str">
        <f>Bird1!Q22</f>
        <v>--</v>
      </c>
      <c r="E21" s="96">
        <f>Bird2!P22</f>
        <v>1.6317060914866758E-5</v>
      </c>
      <c r="F21" s="96" t="str">
        <f>Bird2!Q22</f>
        <v>--</v>
      </c>
      <c r="G21" s="96">
        <f>Bird3!P22</f>
        <v>3.4238775255881708E-5</v>
      </c>
      <c r="H21" s="96" t="str">
        <f>Bird3!Q22</f>
        <v>--</v>
      </c>
      <c r="I21" s="96">
        <f>'Mam1'!P22</f>
        <v>3.0154286401810216E-5</v>
      </c>
      <c r="J21" s="96">
        <f>'Mam1'!Q22</f>
        <v>9.0462859205430649E-6</v>
      </c>
      <c r="K21" s="96">
        <f>'Mam2'!P22</f>
        <v>2.9575337485033549E-6</v>
      </c>
      <c r="L21" s="96">
        <f>'Mam2'!Q22</f>
        <v>8.8726012455100652E-7</v>
      </c>
      <c r="M21" s="96">
        <f>'Mam3'!P22</f>
        <v>3.9001752149187715E-5</v>
      </c>
      <c r="N21" s="96">
        <f>'Mam3'!Q22</f>
        <v>1.1700525644756313E-5</v>
      </c>
      <c r="O21" s="96" t="str">
        <f>Bird1!S22</f>
        <v>--</v>
      </c>
      <c r="P21" s="96" t="str">
        <f>Bird2!S22</f>
        <v>--</v>
      </c>
      <c r="Q21" s="96" t="str">
        <f>Bird3!S22</f>
        <v>--</v>
      </c>
      <c r="R21" s="96" t="str">
        <f>'Mam1'!S22</f>
        <v>--</v>
      </c>
      <c r="S21" s="96" t="str">
        <f>'Mam2'!S22</f>
        <v>--</v>
      </c>
      <c r="T21" s="96" t="str">
        <f>'Mam3'!S22</f>
        <v>--</v>
      </c>
    </row>
    <row r="22" spans="2:21">
      <c r="B22" s="80" t="s">
        <v>70</v>
      </c>
      <c r="C22" s="96" t="str">
        <f>Bird1!P23</f>
        <v>--</v>
      </c>
      <c r="D22" s="96" t="str">
        <f>Bird1!Q23</f>
        <v>--</v>
      </c>
      <c r="E22" s="96" t="str">
        <f>Bird2!P23</f>
        <v>--</v>
      </c>
      <c r="F22" s="96" t="str">
        <f>Bird2!Q23</f>
        <v>--</v>
      </c>
      <c r="G22" s="96" t="str">
        <f>Bird3!P23</f>
        <v>--</v>
      </c>
      <c r="H22" s="96" t="str">
        <f>Bird3!Q23</f>
        <v>--</v>
      </c>
      <c r="I22" s="96">
        <f>'Mam1'!P23</f>
        <v>3.9237811752343157E-5</v>
      </c>
      <c r="J22" s="96">
        <f>'Mam1'!Q23</f>
        <v>1.1771343525702946E-5</v>
      </c>
      <c r="K22" s="96">
        <f>'Mam2'!P23</f>
        <v>8.7275373732823111E-2</v>
      </c>
      <c r="L22" s="96">
        <f>'Mam2'!Q23</f>
        <v>2.6182612119846932E-2</v>
      </c>
      <c r="M22" s="96">
        <f>'Mam3'!P23</f>
        <v>1.6604432307406519E-2</v>
      </c>
      <c r="N22" s="96">
        <f>'Mam3'!Q23</f>
        <v>4.9813296922219556E-3</v>
      </c>
      <c r="O22" s="96" t="str">
        <f>Bird1!S23</f>
        <v>--</v>
      </c>
      <c r="P22" s="96" t="str">
        <f>Bird2!S23</f>
        <v>--</v>
      </c>
      <c r="Q22" s="96" t="str">
        <f>Bird3!S23</f>
        <v>--</v>
      </c>
      <c r="R22" s="96">
        <f>'Mam1'!S23</f>
        <v>1.1771343525702946E-6</v>
      </c>
      <c r="S22" s="96">
        <f>'Mam2'!S23</f>
        <v>2.618261211984693E-3</v>
      </c>
      <c r="T22" s="96">
        <f>'Mam3'!S23</f>
        <v>4.9813296922219554E-4</v>
      </c>
    </row>
    <row r="23" spans="2:21">
      <c r="B23" s="80" t="s">
        <v>37</v>
      </c>
      <c r="C23" s="96">
        <f>Bird1!P24</f>
        <v>3.2122256073882026E-3</v>
      </c>
      <c r="D23" s="96">
        <f>Bird1!Q24</f>
        <v>9.3689913548822572E-4</v>
      </c>
      <c r="E23" s="96">
        <f>Bird2!P24</f>
        <v>6.8894312804416828E-4</v>
      </c>
      <c r="F23" s="96">
        <f>Bird2!Q24</f>
        <v>2.0094174567954909E-4</v>
      </c>
      <c r="G23" s="96">
        <f>Bird3!P24</f>
        <v>1.3514477295588025E-3</v>
      </c>
      <c r="H23" s="96">
        <f>Bird3!Q24</f>
        <v>3.9417225445465074E-4</v>
      </c>
      <c r="I23" s="96">
        <f>'Mam1'!P24</f>
        <v>3.1329422791824227E-2</v>
      </c>
      <c r="J23" s="96">
        <f>'Mam1'!Q24</f>
        <v>7.8323556979560567E-3</v>
      </c>
      <c r="K23" s="96">
        <f>'Mam2'!P24</f>
        <v>3.2145190674025964E-3</v>
      </c>
      <c r="L23" s="96">
        <f>'Mam2'!Q24</f>
        <v>8.036297668506491E-4</v>
      </c>
      <c r="M23" s="96">
        <f>'Mam3'!P24</f>
        <v>4.0463837553974126E-2</v>
      </c>
      <c r="N23" s="96">
        <f>'Mam3'!Q24</f>
        <v>1.0115959388493532E-2</v>
      </c>
      <c r="O23" s="96" t="str">
        <f>Bird1!S24</f>
        <v>--</v>
      </c>
      <c r="P23" s="96" t="str">
        <f>Bird2!S24</f>
        <v>--</v>
      </c>
      <c r="Q23" s="96" t="str">
        <f>Bird3!S24</f>
        <v>--</v>
      </c>
      <c r="R23" s="96">
        <f>'Mam1'!S24</f>
        <v>1.9580889244890142E-3</v>
      </c>
      <c r="S23" s="96">
        <f>'Mam2'!S24</f>
        <v>2.0090744171266228E-4</v>
      </c>
      <c r="T23" s="96">
        <f>'Mam3'!S24</f>
        <v>2.5289898471233829E-3</v>
      </c>
    </row>
    <row r="24" spans="2:21">
      <c r="B24" s="80" t="s">
        <v>71</v>
      </c>
      <c r="C24" s="96" t="str">
        <f>Bird1!P25</f>
        <v>--</v>
      </c>
      <c r="D24" s="96" t="str">
        <f>Bird1!Q25</f>
        <v>--</v>
      </c>
      <c r="E24" s="96" t="str">
        <f>Bird2!P25</f>
        <v>--</v>
      </c>
      <c r="F24" s="96" t="str">
        <f>Bird2!Q25</f>
        <v>--</v>
      </c>
      <c r="G24" s="96" t="str">
        <f>Bird3!P25</f>
        <v>--</v>
      </c>
      <c r="H24" s="96" t="str">
        <f>Bird3!Q25</f>
        <v>--</v>
      </c>
      <c r="I24" s="96" t="str">
        <f>'Mam1'!P25</f>
        <v>--</v>
      </c>
      <c r="J24" s="96" t="str">
        <f>'Mam1'!Q25</f>
        <v>--</v>
      </c>
      <c r="K24" s="96" t="str">
        <f>'Mam2'!P25</f>
        <v>--</v>
      </c>
      <c r="L24" s="96" t="str">
        <f>'Mam2'!Q25</f>
        <v>--</v>
      </c>
      <c r="M24" s="96" t="str">
        <f>'Mam3'!P25</f>
        <v>--</v>
      </c>
      <c r="N24" s="96" t="str">
        <f>'Mam3'!Q25</f>
        <v>--</v>
      </c>
      <c r="O24" s="96" t="str">
        <f>Bird1!S25</f>
        <v>--</v>
      </c>
      <c r="P24" s="96" t="str">
        <f>Bird2!S25</f>
        <v>--</v>
      </c>
      <c r="Q24" s="96" t="str">
        <f>Bird3!S25</f>
        <v>--</v>
      </c>
      <c r="R24" s="96" t="str">
        <f>'Mam1'!S25</f>
        <v>--</v>
      </c>
      <c r="S24" s="96" t="str">
        <f>'Mam2'!S25</f>
        <v>--</v>
      </c>
      <c r="T24" s="96" t="str">
        <f>'Mam3'!S25</f>
        <v>--</v>
      </c>
    </row>
    <row r="25" spans="2:21">
      <c r="B25" s="82" t="s">
        <v>77</v>
      </c>
      <c r="C25" s="171"/>
      <c r="D25" s="172"/>
      <c r="E25" s="172"/>
      <c r="F25" s="172"/>
      <c r="G25" s="172"/>
      <c r="H25" s="172"/>
      <c r="I25" s="172"/>
      <c r="J25" s="172"/>
      <c r="K25" s="172"/>
      <c r="L25" s="172"/>
      <c r="M25" s="172"/>
      <c r="N25" s="67"/>
      <c r="O25" s="67"/>
      <c r="P25" s="172"/>
      <c r="Q25" s="172"/>
      <c r="R25" s="172"/>
      <c r="S25" s="172"/>
      <c r="T25" s="173"/>
      <c r="U25" s="404"/>
    </row>
    <row r="26" spans="2:21">
      <c r="B26" s="80" t="s">
        <v>72</v>
      </c>
      <c r="C26" s="96" t="str">
        <f>Bird1!P27</f>
        <v>--</v>
      </c>
      <c r="D26" s="96" t="str">
        <f>Bird1!Q27</f>
        <v>--</v>
      </c>
      <c r="E26" s="96" t="str">
        <f>Bird2!P27</f>
        <v>--</v>
      </c>
      <c r="F26" s="96" t="str">
        <f>Bird2!Q27</f>
        <v>--</v>
      </c>
      <c r="G26" s="96" t="str">
        <f>Bird3!P27</f>
        <v>--</v>
      </c>
      <c r="H26" s="96" t="str">
        <f>Bird3!Q27</f>
        <v>--</v>
      </c>
      <c r="I26" s="96" t="str">
        <f>'Mam1'!P27</f>
        <v>--</v>
      </c>
      <c r="J26" s="96" t="str">
        <f>'Mam1'!Q27</f>
        <v>--</v>
      </c>
      <c r="K26" s="96" t="str">
        <f>'Mam2'!P27</f>
        <v>--</v>
      </c>
      <c r="L26" s="96" t="str">
        <f>'Mam2'!Q27</f>
        <v>--</v>
      </c>
      <c r="M26" s="96" t="str">
        <f>'Mam3'!P27</f>
        <v>--</v>
      </c>
      <c r="N26" s="96" t="str">
        <f>'Mam3'!Q27</f>
        <v>--</v>
      </c>
      <c r="O26" s="96" t="str">
        <f>Bird1!S27</f>
        <v>--</v>
      </c>
      <c r="P26" s="96" t="str">
        <f>Bird2!S27</f>
        <v>--</v>
      </c>
      <c r="Q26" s="96" t="str">
        <f>Bird3!S27</f>
        <v>--</v>
      </c>
      <c r="R26" s="96" t="str">
        <f>'Mam1'!S27</f>
        <v>--</v>
      </c>
      <c r="S26" s="96" t="str">
        <f>'Mam2'!S27</f>
        <v>--</v>
      </c>
      <c r="T26" s="96" t="str">
        <f>'Mam3'!S27</f>
        <v>--</v>
      </c>
    </row>
    <row r="27" spans="2:21">
      <c r="B27" s="82" t="s">
        <v>78</v>
      </c>
      <c r="C27" s="171"/>
      <c r="D27" s="172"/>
      <c r="E27" s="172"/>
      <c r="F27" s="172"/>
      <c r="G27" s="172"/>
      <c r="H27" s="172"/>
      <c r="I27" s="172"/>
      <c r="J27" s="172"/>
      <c r="K27" s="172"/>
      <c r="L27" s="172"/>
      <c r="M27" s="172"/>
      <c r="N27" s="67"/>
      <c r="O27" s="67"/>
      <c r="P27" s="172"/>
      <c r="Q27" s="172"/>
      <c r="R27" s="172"/>
      <c r="S27" s="172"/>
      <c r="T27" s="173"/>
      <c r="U27" s="404"/>
    </row>
    <row r="28" spans="2:21">
      <c r="B28" s="80" t="s">
        <v>73</v>
      </c>
      <c r="C28" s="96" t="str">
        <f>Bird1!P29</f>
        <v>--</v>
      </c>
      <c r="D28" s="96" t="str">
        <f>Bird1!Q29</f>
        <v>--</v>
      </c>
      <c r="E28" s="96" t="str">
        <f>Bird2!P29</f>
        <v>--</v>
      </c>
      <c r="F28" s="96" t="str">
        <f>Bird2!Q29</f>
        <v>--</v>
      </c>
      <c r="G28" s="96" t="str">
        <f>Bird3!P29</f>
        <v>--</v>
      </c>
      <c r="H28" s="96" t="str">
        <f>Bird3!Q29</f>
        <v>--</v>
      </c>
      <c r="I28" s="96" t="str">
        <f>'Mam1'!P29</f>
        <v>--</v>
      </c>
      <c r="J28" s="96" t="str">
        <f>'Mam1'!Q29</f>
        <v>--</v>
      </c>
      <c r="K28" s="96" t="str">
        <f>'Mam2'!P29</f>
        <v>--</v>
      </c>
      <c r="L28" s="96" t="str">
        <f>'Mam2'!Q29</f>
        <v>--</v>
      </c>
      <c r="M28" s="96" t="str">
        <f>'Mam3'!P29</f>
        <v>--</v>
      </c>
      <c r="N28" s="96" t="str">
        <f>'Mam3'!Q29</f>
        <v>--</v>
      </c>
      <c r="O28" s="96" t="str">
        <f>Bird1!S29</f>
        <v>--</v>
      </c>
      <c r="P28" s="96" t="str">
        <f>Bird2!S29</f>
        <v>--</v>
      </c>
      <c r="Q28" s="96" t="str">
        <f>Bird3!S29</f>
        <v>--</v>
      </c>
      <c r="R28" s="96" t="str">
        <f>'Mam1'!S29</f>
        <v>--</v>
      </c>
      <c r="S28" s="96" t="str">
        <f>'Mam2'!S29</f>
        <v>--</v>
      </c>
      <c r="T28" s="96" t="str">
        <f>'Mam3'!S29</f>
        <v>--</v>
      </c>
    </row>
    <row r="29" spans="2:21">
      <c r="B29" s="81" t="s">
        <v>74</v>
      </c>
      <c r="C29" s="96" t="str">
        <f>Bird1!P30</f>
        <v>--</v>
      </c>
      <c r="D29" s="96" t="str">
        <f>Bird1!Q30</f>
        <v>--</v>
      </c>
      <c r="E29" s="96" t="str">
        <f>Bird2!P30</f>
        <v>--</v>
      </c>
      <c r="F29" s="96" t="str">
        <f>Bird2!Q30</f>
        <v>--</v>
      </c>
      <c r="G29" s="96" t="str">
        <f>Bird3!P30</f>
        <v>--</v>
      </c>
      <c r="H29" s="96" t="str">
        <f>Bird3!Q30</f>
        <v>--</v>
      </c>
      <c r="I29" s="96" t="str">
        <f>'Mam1'!P30</f>
        <v>--</v>
      </c>
      <c r="J29" s="96" t="str">
        <f>'Mam1'!Q30</f>
        <v>--</v>
      </c>
      <c r="K29" s="96" t="str">
        <f>'Mam2'!P30</f>
        <v>--</v>
      </c>
      <c r="L29" s="96" t="str">
        <f>'Mam2'!Q30</f>
        <v>--</v>
      </c>
      <c r="M29" s="96" t="str">
        <f>'Mam3'!P30</f>
        <v>--</v>
      </c>
      <c r="N29" s="96" t="str">
        <f>'Mam3'!Q30</f>
        <v>--</v>
      </c>
      <c r="O29" s="96" t="str">
        <f>Bird1!S30</f>
        <v>--</v>
      </c>
      <c r="P29" s="96" t="str">
        <f>Bird2!S30</f>
        <v>--</v>
      </c>
      <c r="Q29" s="96" t="str">
        <f>Bird3!S30</f>
        <v>--</v>
      </c>
      <c r="R29" s="96" t="str">
        <f>'Mam1'!S30</f>
        <v>--</v>
      </c>
      <c r="S29" s="96" t="str">
        <f>'Mam2'!S30</f>
        <v>--</v>
      </c>
      <c r="T29" s="96" t="str">
        <f>'Mam3'!S30</f>
        <v>--</v>
      </c>
    </row>
    <row r="31" spans="2:21">
      <c r="B31" s="30" t="s">
        <v>1</v>
      </c>
      <c r="H31" s="31" t="s">
        <v>22</v>
      </c>
    </row>
    <row r="32" spans="2:21">
      <c r="B32" s="201" t="s">
        <v>289</v>
      </c>
      <c r="H32" s="14" t="s">
        <v>294</v>
      </c>
    </row>
    <row r="33" spans="2:8">
      <c r="B33" s="16" t="s">
        <v>256</v>
      </c>
      <c r="H33" s="14" t="s">
        <v>296</v>
      </c>
    </row>
    <row r="34" spans="2:8">
      <c r="B34" s="14"/>
    </row>
  </sheetData>
  <mergeCells count="15">
    <mergeCell ref="B5:B7"/>
    <mergeCell ref="C5:N5"/>
    <mergeCell ref="O5:T5"/>
    <mergeCell ref="T6:T7"/>
    <mergeCell ref="S6:S7"/>
    <mergeCell ref="R6:R7"/>
    <mergeCell ref="Q6:Q7"/>
    <mergeCell ref="P6:P7"/>
    <mergeCell ref="C6:D6"/>
    <mergeCell ref="O6:O7"/>
    <mergeCell ref="M6:N6"/>
    <mergeCell ref="K6:L6"/>
    <mergeCell ref="I6:J6"/>
    <mergeCell ref="G6:H6"/>
    <mergeCell ref="E6:F6"/>
  </mergeCells>
  <conditionalFormatting sqref="C28:N29 C26:N26 C21:N24 C9:N19">
    <cfRule type="expression" dxfId="17" priority="4">
      <formula>AND(ISNUMBER(C9),C9&gt;1)</formula>
    </cfRule>
  </conditionalFormatting>
  <conditionalFormatting sqref="O28:T29 O26:T26 O21:T24 O9:T19">
    <cfRule type="expression" dxfId="16" priority="2">
      <formula>AND(ISNUMBER(O9),O9&gt;1)</formula>
    </cfRule>
  </conditionalFormatting>
  <conditionalFormatting sqref="C9:T29">
    <cfRule type="cellIs" dxfId="15" priority="1" operator="equal">
      <formula>0</formula>
    </cfRule>
  </conditionalFormatting>
  <pageMargins left="0.7" right="0.7" top="0.75" bottom="0.75" header="0.3" footer="0.3"/>
  <pageSetup scale="65" orientation="landscape" horizontalDpi="1200" verticalDpi="1200" r:id="rId1"/>
  <headerFooter>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
  <sheetViews>
    <sheetView view="pageBreakPreview" zoomScale="60" zoomScaleNormal="100" workbookViewId="0">
      <selection activeCell="F17" sqref="F17"/>
    </sheetView>
  </sheetViews>
  <sheetFormatPr defaultColWidth="8.77734375"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95E3-CC77-4600-B19D-84DC14A7B10A}">
  <sheetPr>
    <tabColor rgb="FFFF0000"/>
  </sheetPr>
  <dimension ref="A1:S1048576"/>
  <sheetViews>
    <sheetView view="pageBreakPreview" zoomScale="85" zoomScaleNormal="115" zoomScaleSheetLayoutView="85" zoomScalePageLayoutView="85" workbookViewId="0">
      <selection activeCell="A3" sqref="A3"/>
    </sheetView>
  </sheetViews>
  <sheetFormatPr defaultColWidth="8.77734375" defaultRowHeight="14.4" zeroHeight="1"/>
  <cols>
    <col min="1" max="1" width="13.77734375" style="186" customWidth="1"/>
    <col min="2" max="2" width="12.44140625" style="186" bestFit="1" customWidth="1"/>
    <col min="3" max="3" width="30.21875" style="186" customWidth="1"/>
    <col min="4" max="4" width="10" style="186" customWidth="1"/>
    <col min="5" max="5" width="30.77734375" style="199" customWidth="1"/>
    <col min="6" max="6" width="34.77734375" style="199" customWidth="1"/>
    <col min="7" max="7" width="11.21875" style="189" customWidth="1"/>
    <col min="8" max="8" width="23" style="186" bestFit="1" customWidth="1"/>
    <col min="9" max="9" width="30.21875" style="186" customWidth="1"/>
    <col min="10" max="10" width="110.77734375" style="186" customWidth="1"/>
    <col min="11" max="11" width="13" style="176" customWidth="1"/>
    <col min="12" max="12" width="11.44140625" style="176" bestFit="1" customWidth="1"/>
    <col min="13" max="13" width="8.77734375" style="176" bestFit="1" customWidth="1"/>
    <col min="14" max="14" width="12" style="176" bestFit="1" customWidth="1"/>
    <col min="15" max="16" width="9.21875" style="176" customWidth="1"/>
    <col min="17" max="19" width="9.21875" style="177" customWidth="1"/>
    <col min="20" max="16384" width="8.77734375" style="174"/>
  </cols>
  <sheetData>
    <row r="1" spans="1:19" ht="28.5" customHeight="1">
      <c r="A1" s="499" t="s">
        <v>286</v>
      </c>
      <c r="B1" s="499"/>
      <c r="C1" s="499"/>
      <c r="D1" s="499"/>
      <c r="E1" s="499"/>
      <c r="F1" s="499"/>
      <c r="G1" s="499"/>
      <c r="H1" s="499"/>
      <c r="I1" s="499"/>
      <c r="J1" s="499"/>
    </row>
    <row r="2" spans="1:19">
      <c r="A2" s="174"/>
      <c r="B2" s="174"/>
      <c r="C2" s="174"/>
      <c r="D2" s="174"/>
      <c r="E2" s="313"/>
      <c r="F2" s="313"/>
      <c r="G2" s="314"/>
      <c r="H2" s="174"/>
      <c r="I2" s="174"/>
      <c r="J2" s="174"/>
    </row>
    <row r="3" spans="1:19" ht="28.8">
      <c r="A3" s="315" t="s">
        <v>209</v>
      </c>
      <c r="B3" s="315" t="s">
        <v>210</v>
      </c>
      <c r="C3" s="315" t="s">
        <v>211</v>
      </c>
      <c r="D3" s="315" t="s">
        <v>3</v>
      </c>
      <c r="E3" s="316" t="s">
        <v>212</v>
      </c>
      <c r="F3" s="316" t="s">
        <v>213</v>
      </c>
      <c r="G3" s="315" t="s">
        <v>53</v>
      </c>
      <c r="H3" s="315" t="s">
        <v>2</v>
      </c>
      <c r="I3" s="315" t="s">
        <v>87</v>
      </c>
      <c r="J3" s="315" t="s">
        <v>164</v>
      </c>
    </row>
    <row r="4" spans="1:19">
      <c r="A4" s="317" t="s">
        <v>214</v>
      </c>
      <c r="B4" s="318" t="s">
        <v>327</v>
      </c>
      <c r="C4" s="318" t="s">
        <v>335</v>
      </c>
      <c r="D4" s="319" t="s">
        <v>5</v>
      </c>
      <c r="E4" s="318" t="s">
        <v>6</v>
      </c>
      <c r="F4" s="320" t="str">
        <f t="shared" ref="F4:F8" si="0">CONCATENATE(C4,"_",D4)</f>
        <v>American Robin_BW</v>
      </c>
      <c r="G4" s="321">
        <v>7.7299999999999994E-2</v>
      </c>
      <c r="H4" s="319" t="s">
        <v>26</v>
      </c>
      <c r="I4" s="180" t="s">
        <v>288</v>
      </c>
      <c r="J4" s="318"/>
    </row>
    <row r="5" spans="1:19">
      <c r="A5" s="317" t="s">
        <v>214</v>
      </c>
      <c r="B5" s="318" t="s">
        <v>327</v>
      </c>
      <c r="C5" s="318" t="s">
        <v>335</v>
      </c>
      <c r="D5" s="322" t="s">
        <v>388</v>
      </c>
      <c r="E5" s="350" t="s">
        <v>389</v>
      </c>
      <c r="F5" s="336" t="str">
        <f t="shared" si="0"/>
        <v>American Robin_DWI</v>
      </c>
      <c r="G5" s="323">
        <f>0.14*American_Robin_BW</f>
        <v>1.0822E-2</v>
      </c>
      <c r="H5" s="322" t="s">
        <v>390</v>
      </c>
      <c r="I5" s="318" t="s">
        <v>288</v>
      </c>
      <c r="J5" s="315"/>
    </row>
    <row r="6" spans="1:19" ht="28.8">
      <c r="A6" s="317" t="s">
        <v>214</v>
      </c>
      <c r="B6" s="318" t="s">
        <v>327</v>
      </c>
      <c r="C6" s="318" t="s">
        <v>335</v>
      </c>
      <c r="D6" s="319" t="s">
        <v>216</v>
      </c>
      <c r="E6" s="318" t="s">
        <v>27</v>
      </c>
      <c r="F6" s="320" t="str">
        <f t="shared" si="0"/>
        <v>American Robin_FIRdw</v>
      </c>
      <c r="G6" s="324">
        <f>(a_avian_passerines_dw*(1000*American_Robin_BW)^b_avian_passerines_dw)/1000</f>
        <v>1.2273463737418262E-2</v>
      </c>
      <c r="H6" s="319" t="s">
        <v>8</v>
      </c>
      <c r="I6" s="180" t="s">
        <v>287</v>
      </c>
      <c r="J6" s="318" t="s">
        <v>480</v>
      </c>
    </row>
    <row r="7" spans="1:19" ht="28.8">
      <c r="A7" s="317" t="s">
        <v>214</v>
      </c>
      <c r="B7" s="318" t="s">
        <v>327</v>
      </c>
      <c r="C7" s="318" t="s">
        <v>335</v>
      </c>
      <c r="D7" s="319" t="s">
        <v>217</v>
      </c>
      <c r="E7" s="318" t="s">
        <v>39</v>
      </c>
      <c r="F7" s="320" t="str">
        <f t="shared" si="0"/>
        <v>American Robin_FIRww</v>
      </c>
      <c r="G7" s="325">
        <f>(a_avian_passerines_ww*(1000*American_Robin_BW)^b_avian_passerines_ww)/1000</f>
        <v>3.4131757712466008E-2</v>
      </c>
      <c r="H7" s="319" t="s">
        <v>40</v>
      </c>
      <c r="I7" s="318" t="s">
        <v>287</v>
      </c>
      <c r="J7" s="180" t="s">
        <v>482</v>
      </c>
    </row>
    <row r="8" spans="1:19">
      <c r="A8" s="317" t="s">
        <v>214</v>
      </c>
      <c r="B8" s="318" t="s">
        <v>327</v>
      </c>
      <c r="C8" s="318" t="s">
        <v>335</v>
      </c>
      <c r="D8" s="319" t="s">
        <v>10</v>
      </c>
      <c r="E8" s="318" t="s">
        <v>11</v>
      </c>
      <c r="F8" s="320" t="str">
        <f t="shared" si="0"/>
        <v>American Robin_HR</v>
      </c>
      <c r="G8" s="352">
        <v>2</v>
      </c>
      <c r="H8" s="319" t="s">
        <v>218</v>
      </c>
      <c r="I8" s="180" t="s">
        <v>288</v>
      </c>
      <c r="J8" s="318" t="s">
        <v>535</v>
      </c>
    </row>
    <row r="9" spans="1:19" ht="28.8">
      <c r="A9" s="317" t="s">
        <v>214</v>
      </c>
      <c r="B9" s="318" t="s">
        <v>327</v>
      </c>
      <c r="C9" s="318" t="s">
        <v>335</v>
      </c>
      <c r="D9" s="179" t="s">
        <v>317</v>
      </c>
      <c r="E9" s="178" t="s">
        <v>310</v>
      </c>
      <c r="F9" s="180" t="str">
        <f t="shared" ref="F9:F40" si="1">CONCATENATE(C9,"_",D9)</f>
        <v>American Robin_Pinv</v>
      </c>
      <c r="G9" s="190">
        <v>0.9</v>
      </c>
      <c r="H9" s="179" t="s">
        <v>43</v>
      </c>
      <c r="I9" s="318" t="s">
        <v>324</v>
      </c>
      <c r="J9" s="180" t="s">
        <v>490</v>
      </c>
    </row>
    <row r="10" spans="1:19" ht="16.2">
      <c r="A10" s="317" t="s">
        <v>214</v>
      </c>
      <c r="B10" s="318" t="s">
        <v>327</v>
      </c>
      <c r="C10" s="318" t="s">
        <v>335</v>
      </c>
      <c r="D10" s="179" t="s">
        <v>319</v>
      </c>
      <c r="E10" s="178" t="s">
        <v>318</v>
      </c>
      <c r="F10" s="180" t="str">
        <f t="shared" si="1"/>
        <v>American Robin_Pso</v>
      </c>
      <c r="G10" s="190">
        <v>0.104</v>
      </c>
      <c r="H10" s="179" t="s">
        <v>320</v>
      </c>
      <c r="I10" s="318" t="s">
        <v>545</v>
      </c>
      <c r="J10" s="318" t="s">
        <v>336</v>
      </c>
    </row>
    <row r="11" spans="1:19" ht="28.8">
      <c r="A11" s="317" t="s">
        <v>214</v>
      </c>
      <c r="B11" s="318" t="s">
        <v>327</v>
      </c>
      <c r="C11" s="318" t="s">
        <v>335</v>
      </c>
      <c r="D11" s="179" t="s">
        <v>316</v>
      </c>
      <c r="E11" s="178" t="s">
        <v>9</v>
      </c>
      <c r="F11" s="180" t="str">
        <f t="shared" si="1"/>
        <v>American Robin_Pveg</v>
      </c>
      <c r="G11" s="327">
        <v>0.1</v>
      </c>
      <c r="H11" s="179" t="s">
        <v>43</v>
      </c>
      <c r="I11" s="318" t="s">
        <v>324</v>
      </c>
      <c r="J11" s="180" t="s">
        <v>489</v>
      </c>
    </row>
    <row r="12" spans="1:19">
      <c r="A12" s="317" t="s">
        <v>332</v>
      </c>
      <c r="B12" s="318" t="s">
        <v>327</v>
      </c>
      <c r="C12" s="318" t="s">
        <v>342</v>
      </c>
      <c r="D12" s="319" t="s">
        <v>5</v>
      </c>
      <c r="E12" s="318" t="s">
        <v>6</v>
      </c>
      <c r="F12" s="320" t="str">
        <f t="shared" si="1"/>
        <v>Buena Vista Lake Shrew (T&amp;E)_BW</v>
      </c>
      <c r="G12" s="326">
        <v>5.0000000000000001E-3</v>
      </c>
      <c r="H12" s="319" t="s">
        <v>26</v>
      </c>
      <c r="I12" s="180" t="s">
        <v>323</v>
      </c>
      <c r="J12" s="232" t="s">
        <v>329</v>
      </c>
      <c r="K12" s="153"/>
    </row>
    <row r="13" spans="1:19">
      <c r="A13" s="317" t="s">
        <v>332</v>
      </c>
      <c r="B13" s="318" t="s">
        <v>327</v>
      </c>
      <c r="C13" s="318" t="s">
        <v>342</v>
      </c>
      <c r="D13" s="322" t="s">
        <v>388</v>
      </c>
      <c r="E13" s="350" t="s">
        <v>389</v>
      </c>
      <c r="F13" s="320" t="str">
        <f t="shared" si="1"/>
        <v>Buena Vista Lake Shrew (T&amp;E)_DWI</v>
      </c>
      <c r="G13" s="323">
        <f>0.223*Buena_Vista_Lake_Shrew_BW</f>
        <v>1.1150000000000001E-3</v>
      </c>
      <c r="H13" s="322" t="s">
        <v>390</v>
      </c>
      <c r="I13" s="180" t="s">
        <v>288</v>
      </c>
      <c r="J13" s="318" t="s">
        <v>394</v>
      </c>
      <c r="K13" s="153"/>
    </row>
    <row r="14" spans="1:19" s="182" customFormat="1" ht="28.8">
      <c r="A14" s="317" t="s">
        <v>332</v>
      </c>
      <c r="B14" s="318" t="s">
        <v>327</v>
      </c>
      <c r="C14" s="318" t="s">
        <v>342</v>
      </c>
      <c r="D14" s="319" t="s">
        <v>216</v>
      </c>
      <c r="E14" s="318" t="s">
        <v>27</v>
      </c>
      <c r="F14" s="320" t="str">
        <f t="shared" si="1"/>
        <v>Buena Vista Lake Shrew (T&amp;E)_FIRdw</v>
      </c>
      <c r="G14" s="324">
        <f>(a_mamm_rodent_dw*(Buena_Vista_Lake_Shrew_BW*1000)^b_mamm_rodent_dw)/1000</f>
        <v>1.1538274507488979E-3</v>
      </c>
      <c r="H14" s="319" t="s">
        <v>8</v>
      </c>
      <c r="I14" s="180" t="s">
        <v>287</v>
      </c>
      <c r="J14" s="230" t="s">
        <v>483</v>
      </c>
      <c r="K14" s="181"/>
      <c r="R14" s="183"/>
      <c r="S14" s="183"/>
    </row>
    <row r="15" spans="1:19" s="182" customFormat="1" ht="28.8">
      <c r="A15" s="317" t="s">
        <v>332</v>
      </c>
      <c r="B15" s="318" t="s">
        <v>327</v>
      </c>
      <c r="C15" s="318" t="s">
        <v>342</v>
      </c>
      <c r="D15" s="319" t="s">
        <v>217</v>
      </c>
      <c r="E15" s="318" t="s">
        <v>39</v>
      </c>
      <c r="F15" s="320" t="str">
        <f t="shared" si="1"/>
        <v>Buena Vista Lake Shrew (T&amp;E)_FIRww</v>
      </c>
      <c r="G15" s="325">
        <f>(a_mamm_rodent_ww*(Buena_Vista_Lake_Shrew_BW*1000)^b_mamm_rodent_ww)/1000</f>
        <v>2.3620408806318792E-3</v>
      </c>
      <c r="H15" s="319" t="s">
        <v>40</v>
      </c>
      <c r="I15" s="180" t="s">
        <v>287</v>
      </c>
      <c r="J15" s="328" t="s">
        <v>487</v>
      </c>
      <c r="K15" s="181"/>
      <c r="R15" s="183"/>
      <c r="S15" s="183"/>
    </row>
    <row r="16" spans="1:19" s="182" customFormat="1" ht="28.8">
      <c r="A16" s="317" t="s">
        <v>332</v>
      </c>
      <c r="B16" s="318" t="s">
        <v>327</v>
      </c>
      <c r="C16" s="318" t="s">
        <v>342</v>
      </c>
      <c r="D16" s="319" t="s">
        <v>10</v>
      </c>
      <c r="E16" s="318" t="s">
        <v>11</v>
      </c>
      <c r="F16" s="320" t="str">
        <f t="shared" si="1"/>
        <v>Buena Vista Lake Shrew (T&amp;E)_HR</v>
      </c>
      <c r="G16" s="190">
        <v>9.0999999999999998E-2</v>
      </c>
      <c r="H16" s="319" t="s">
        <v>218</v>
      </c>
      <c r="I16" s="318" t="s">
        <v>322</v>
      </c>
      <c r="J16" s="329" t="s">
        <v>521</v>
      </c>
      <c r="K16" s="184"/>
      <c r="R16" s="183"/>
      <c r="S16" s="183"/>
    </row>
    <row r="17" spans="1:19" s="182" customFormat="1" ht="28.8">
      <c r="A17" s="317" t="s">
        <v>332</v>
      </c>
      <c r="B17" s="318" t="s">
        <v>327</v>
      </c>
      <c r="C17" s="318" t="s">
        <v>342</v>
      </c>
      <c r="D17" s="179" t="s">
        <v>317</v>
      </c>
      <c r="E17" s="178" t="s">
        <v>310</v>
      </c>
      <c r="F17" s="180" t="str">
        <f t="shared" si="1"/>
        <v>Buena Vista Lake Shrew (T&amp;E)_Pinv</v>
      </c>
      <c r="G17" s="326">
        <v>1</v>
      </c>
      <c r="H17" s="179" t="s">
        <v>43</v>
      </c>
      <c r="I17" s="180" t="s">
        <v>322</v>
      </c>
      <c r="J17" s="318" t="s">
        <v>321</v>
      </c>
      <c r="K17" s="185"/>
      <c r="R17" s="183"/>
      <c r="S17" s="183"/>
    </row>
    <row r="18" spans="1:19" ht="16.2">
      <c r="A18" s="317" t="s">
        <v>332</v>
      </c>
      <c r="B18" s="318" t="s">
        <v>327</v>
      </c>
      <c r="C18" s="318" t="s">
        <v>342</v>
      </c>
      <c r="D18" s="179" t="s">
        <v>319</v>
      </c>
      <c r="E18" s="178" t="s">
        <v>318</v>
      </c>
      <c r="F18" s="180" t="str">
        <f t="shared" si="1"/>
        <v>Buena Vista Lake Shrew (T&amp;E)_Pso</v>
      </c>
      <c r="G18" s="190">
        <v>2.4E-2</v>
      </c>
      <c r="H18" s="179" t="s">
        <v>320</v>
      </c>
      <c r="I18" s="318" t="s">
        <v>324</v>
      </c>
      <c r="J18" s="318" t="s">
        <v>339</v>
      </c>
      <c r="K18" s="153"/>
    </row>
    <row r="19" spans="1:19" ht="28.8">
      <c r="A19" s="317" t="s">
        <v>332</v>
      </c>
      <c r="B19" s="318" t="s">
        <v>327</v>
      </c>
      <c r="C19" s="318" t="s">
        <v>342</v>
      </c>
      <c r="D19" s="179" t="s">
        <v>316</v>
      </c>
      <c r="E19" s="178" t="s">
        <v>9</v>
      </c>
      <c r="F19" s="180" t="str">
        <f t="shared" si="1"/>
        <v>Buena Vista Lake Shrew (T&amp;E)_Pveg</v>
      </c>
      <c r="G19" s="353">
        <v>0</v>
      </c>
      <c r="H19" s="179" t="s">
        <v>43</v>
      </c>
      <c r="I19" s="180" t="s">
        <v>322</v>
      </c>
      <c r="J19" s="318" t="s">
        <v>321</v>
      </c>
    </row>
    <row r="20" spans="1:19" ht="28.8">
      <c r="A20" s="317" t="s">
        <v>214</v>
      </c>
      <c r="B20" s="318" t="s">
        <v>327</v>
      </c>
      <c r="C20" s="318" t="s">
        <v>345</v>
      </c>
      <c r="D20" s="319" t="s">
        <v>5</v>
      </c>
      <c r="E20" s="318" t="s">
        <v>6</v>
      </c>
      <c r="F20" s="320" t="str">
        <f t="shared" si="1"/>
        <v>Coastal California Gnatcatcher (T&amp;E)_BW</v>
      </c>
      <c r="G20" s="326">
        <v>6.0000000000000001E-3</v>
      </c>
      <c r="H20" s="319" t="s">
        <v>26</v>
      </c>
      <c r="I20" s="318" t="s">
        <v>323</v>
      </c>
      <c r="J20" s="228" t="s">
        <v>329</v>
      </c>
      <c r="K20" s="153"/>
    </row>
    <row r="21" spans="1:19" ht="28.8">
      <c r="A21" s="317" t="s">
        <v>214</v>
      </c>
      <c r="B21" s="318" t="s">
        <v>327</v>
      </c>
      <c r="C21" s="318" t="s">
        <v>345</v>
      </c>
      <c r="D21" s="322" t="s">
        <v>388</v>
      </c>
      <c r="E21" s="350" t="s">
        <v>389</v>
      </c>
      <c r="F21" s="336" t="str">
        <f t="shared" si="1"/>
        <v>Coastal California Gnatcatcher (T&amp;E)_DWI</v>
      </c>
      <c r="G21" s="354">
        <f>0.14*Coastal_California_Gnatcatcher__BW</f>
        <v>8.4000000000000014E-4</v>
      </c>
      <c r="H21" s="322" t="s">
        <v>390</v>
      </c>
      <c r="I21" s="318" t="s">
        <v>288</v>
      </c>
      <c r="J21" s="318" t="s">
        <v>393</v>
      </c>
      <c r="K21" s="153"/>
    </row>
    <row r="22" spans="1:19" s="182" customFormat="1" ht="28.8">
      <c r="A22" s="317" t="s">
        <v>214</v>
      </c>
      <c r="B22" s="318" t="s">
        <v>327</v>
      </c>
      <c r="C22" s="318" t="s">
        <v>345</v>
      </c>
      <c r="D22" s="319" t="s">
        <v>216</v>
      </c>
      <c r="E22" s="318" t="s">
        <v>27</v>
      </c>
      <c r="F22" s="320" t="str">
        <f t="shared" si="1"/>
        <v>Coastal California Gnatcatcher (T&amp;E)_FIRdw</v>
      </c>
      <c r="G22" s="355">
        <f>(a_avian_passerines_dw*(Coastal_California_Gnatcatcher__BW*1000)^b_avian_passerines_dw)/1000</f>
        <v>2.1419920443282781E-3</v>
      </c>
      <c r="H22" s="319" t="s">
        <v>8</v>
      </c>
      <c r="I22" s="198" t="s">
        <v>287</v>
      </c>
      <c r="J22" s="318" t="s">
        <v>480</v>
      </c>
      <c r="K22" s="181"/>
      <c r="R22" s="183"/>
      <c r="S22" s="183"/>
    </row>
    <row r="23" spans="1:19" s="182" customFormat="1" ht="28.8">
      <c r="A23" s="317" t="s">
        <v>214</v>
      </c>
      <c r="B23" s="318" t="s">
        <v>327</v>
      </c>
      <c r="C23" s="318" t="s">
        <v>345</v>
      </c>
      <c r="D23" s="319" t="s">
        <v>217</v>
      </c>
      <c r="E23" s="318" t="s">
        <v>39</v>
      </c>
      <c r="F23" s="320" t="str">
        <f t="shared" si="1"/>
        <v>Coastal California Gnatcatcher (T&amp;E)_FIRww</v>
      </c>
      <c r="G23" s="355">
        <f>(a_avian_passerines_ww*(Coastal_California_Gnatcatcher__BW*1000)^b_avian_passerines_ww)/1000</f>
        <v>7.2338834999043618E-3</v>
      </c>
      <c r="H23" s="319" t="s">
        <v>40</v>
      </c>
      <c r="I23" s="198" t="s">
        <v>287</v>
      </c>
      <c r="J23" s="180" t="s">
        <v>482</v>
      </c>
      <c r="K23" s="181"/>
      <c r="R23" s="183"/>
      <c r="S23" s="183"/>
    </row>
    <row r="24" spans="1:19" s="182" customFormat="1" ht="28.8">
      <c r="A24" s="317" t="s">
        <v>214</v>
      </c>
      <c r="B24" s="318" t="s">
        <v>327</v>
      </c>
      <c r="C24" s="318" t="s">
        <v>345</v>
      </c>
      <c r="D24" s="319" t="s">
        <v>10</v>
      </c>
      <c r="E24" s="318" t="s">
        <v>11</v>
      </c>
      <c r="F24" s="320" t="str">
        <f t="shared" si="1"/>
        <v>Coastal California Gnatcatcher (T&amp;E)_HR</v>
      </c>
      <c r="G24" s="352">
        <v>4</v>
      </c>
      <c r="H24" s="319" t="s">
        <v>218</v>
      </c>
      <c r="I24" s="180" t="s">
        <v>323</v>
      </c>
      <c r="J24" s="174" t="s">
        <v>538</v>
      </c>
      <c r="K24" s="184"/>
      <c r="R24" s="183"/>
      <c r="S24" s="183"/>
    </row>
    <row r="25" spans="1:19" s="182" customFormat="1" ht="28.8">
      <c r="A25" s="317" t="s">
        <v>214</v>
      </c>
      <c r="B25" s="318" t="s">
        <v>327</v>
      </c>
      <c r="C25" s="318" t="s">
        <v>345</v>
      </c>
      <c r="D25" s="179" t="s">
        <v>317</v>
      </c>
      <c r="E25" s="178" t="s">
        <v>310</v>
      </c>
      <c r="F25" s="180" t="str">
        <f t="shared" si="1"/>
        <v>Coastal California Gnatcatcher (T&amp;E)_Pinv</v>
      </c>
      <c r="G25" s="190">
        <v>1</v>
      </c>
      <c r="H25" s="179" t="s">
        <v>43</v>
      </c>
      <c r="I25" s="318" t="s">
        <v>330</v>
      </c>
      <c r="J25" s="329" t="s">
        <v>492</v>
      </c>
      <c r="R25" s="183"/>
      <c r="S25" s="183"/>
    </row>
    <row r="26" spans="1:19" ht="28.8">
      <c r="A26" s="317" t="s">
        <v>214</v>
      </c>
      <c r="B26" s="318" t="s">
        <v>327</v>
      </c>
      <c r="C26" s="318" t="s">
        <v>345</v>
      </c>
      <c r="D26" s="179" t="s">
        <v>319</v>
      </c>
      <c r="E26" s="178" t="s">
        <v>318</v>
      </c>
      <c r="F26" s="180" t="str">
        <f t="shared" si="1"/>
        <v>Coastal California Gnatcatcher (T&amp;E)_Pso</v>
      </c>
      <c r="G26" s="349">
        <v>0</v>
      </c>
      <c r="H26" s="179" t="s">
        <v>320</v>
      </c>
      <c r="I26" s="318" t="s">
        <v>331</v>
      </c>
      <c r="J26" s="329" t="s">
        <v>491</v>
      </c>
      <c r="K26" s="153"/>
    </row>
    <row r="27" spans="1:19" ht="28.8">
      <c r="A27" s="317" t="s">
        <v>214</v>
      </c>
      <c r="B27" s="318" t="s">
        <v>327</v>
      </c>
      <c r="C27" s="318" t="s">
        <v>345</v>
      </c>
      <c r="D27" s="179" t="s">
        <v>316</v>
      </c>
      <c r="E27" s="178" t="s">
        <v>9</v>
      </c>
      <c r="F27" s="180" t="str">
        <f t="shared" si="1"/>
        <v>Coastal California Gnatcatcher (T&amp;E)_Pveg</v>
      </c>
      <c r="G27" s="349">
        <v>0</v>
      </c>
      <c r="H27" s="179" t="s">
        <v>43</v>
      </c>
      <c r="I27" s="318" t="s">
        <v>322</v>
      </c>
      <c r="J27" s="329" t="s">
        <v>321</v>
      </c>
    </row>
    <row r="28" spans="1:19">
      <c r="A28" s="317" t="s">
        <v>332</v>
      </c>
      <c r="B28" s="318" t="s">
        <v>219</v>
      </c>
      <c r="C28" s="317" t="s">
        <v>340</v>
      </c>
      <c r="D28" s="319" t="s">
        <v>5</v>
      </c>
      <c r="E28" s="318" t="s">
        <v>6</v>
      </c>
      <c r="F28" s="320" t="str">
        <f t="shared" si="1"/>
        <v>Deer Mouse_BW</v>
      </c>
      <c r="G28" s="326">
        <v>1.4999999999999999E-2</v>
      </c>
      <c r="H28" s="319" t="s">
        <v>26</v>
      </c>
      <c r="I28" s="180" t="s">
        <v>288</v>
      </c>
      <c r="J28" s="318" t="s">
        <v>493</v>
      </c>
    </row>
    <row r="29" spans="1:19">
      <c r="A29" s="317" t="s">
        <v>332</v>
      </c>
      <c r="B29" s="318" t="s">
        <v>219</v>
      </c>
      <c r="C29" s="317" t="s">
        <v>340</v>
      </c>
      <c r="D29" s="322" t="s">
        <v>388</v>
      </c>
      <c r="E29" s="350" t="s">
        <v>389</v>
      </c>
      <c r="F29" s="331" t="str">
        <f t="shared" si="1"/>
        <v>Deer Mouse_DWI</v>
      </c>
      <c r="G29" s="190">
        <f>0.19*Deer_Mouse_BW</f>
        <v>2.8500000000000001E-3</v>
      </c>
      <c r="H29" s="322" t="s">
        <v>390</v>
      </c>
      <c r="I29" s="180" t="s">
        <v>288</v>
      </c>
      <c r="J29" s="180"/>
    </row>
    <row r="30" spans="1:19" ht="28.8">
      <c r="A30" s="317" t="s">
        <v>332</v>
      </c>
      <c r="B30" s="318" t="s">
        <v>219</v>
      </c>
      <c r="C30" s="317" t="s">
        <v>340</v>
      </c>
      <c r="D30" s="319" t="s">
        <v>216</v>
      </c>
      <c r="E30" s="318" t="s">
        <v>27</v>
      </c>
      <c r="F30" s="320" t="str">
        <f t="shared" si="1"/>
        <v>Deer Mouse_FIRdw</v>
      </c>
      <c r="G30" s="355">
        <f>(a_mamm_rodent_dw*(1000*Deer_Mouse_BW)^b_mamm_rodent_dw)/1000</f>
        <v>2.7004287199919718E-3</v>
      </c>
      <c r="H30" s="319" t="s">
        <v>8</v>
      </c>
      <c r="I30" s="180" t="s">
        <v>287</v>
      </c>
      <c r="J30" s="230" t="s">
        <v>484</v>
      </c>
    </row>
    <row r="31" spans="1:19" ht="28.8">
      <c r="A31" s="317" t="s">
        <v>332</v>
      </c>
      <c r="B31" s="318" t="s">
        <v>219</v>
      </c>
      <c r="C31" s="317" t="s">
        <v>340</v>
      </c>
      <c r="D31" s="319" t="s">
        <v>217</v>
      </c>
      <c r="E31" s="318" t="s">
        <v>39</v>
      </c>
      <c r="F31" s="320" t="str">
        <f t="shared" si="1"/>
        <v>Deer Mouse_FIRww</v>
      </c>
      <c r="G31" s="355">
        <f>(a_mamm_rodent_ww*(Deer_Mouse_BW*1000)^b_mamm_rodent_ww)/1000</f>
        <v>6.1026740420215414E-3</v>
      </c>
      <c r="H31" s="319" t="s">
        <v>40</v>
      </c>
      <c r="I31" s="180" t="s">
        <v>287</v>
      </c>
      <c r="J31" s="328" t="s">
        <v>488</v>
      </c>
    </row>
    <row r="32" spans="1:19">
      <c r="A32" s="317" t="s">
        <v>332</v>
      </c>
      <c r="B32" s="318" t="s">
        <v>219</v>
      </c>
      <c r="C32" s="317" t="s">
        <v>340</v>
      </c>
      <c r="D32" s="319" t="s">
        <v>10</v>
      </c>
      <c r="E32" s="318" t="s">
        <v>11</v>
      </c>
      <c r="F32" s="320" t="str">
        <f t="shared" si="1"/>
        <v>Deer Mouse_HR</v>
      </c>
      <c r="G32" s="190">
        <v>0.15</v>
      </c>
      <c r="H32" s="366" t="s">
        <v>218</v>
      </c>
      <c r="I32" s="367" t="s">
        <v>288</v>
      </c>
      <c r="J32" s="180" t="s">
        <v>527</v>
      </c>
    </row>
    <row r="33" spans="1:10" ht="28.8">
      <c r="A33" s="317" t="s">
        <v>332</v>
      </c>
      <c r="B33" s="318" t="s">
        <v>219</v>
      </c>
      <c r="C33" s="317" t="s">
        <v>340</v>
      </c>
      <c r="D33" s="179" t="s">
        <v>317</v>
      </c>
      <c r="E33" s="178" t="s">
        <v>310</v>
      </c>
      <c r="F33" s="180" t="str">
        <f t="shared" si="1"/>
        <v>Deer Mouse_Pinv</v>
      </c>
      <c r="G33" s="326">
        <v>0.35</v>
      </c>
      <c r="H33" s="179" t="s">
        <v>43</v>
      </c>
      <c r="I33" s="180" t="s">
        <v>288</v>
      </c>
      <c r="J33" s="198" t="s">
        <v>495</v>
      </c>
    </row>
    <row r="34" spans="1:10" ht="16.2">
      <c r="A34" s="317" t="s">
        <v>332</v>
      </c>
      <c r="B34" s="318" t="s">
        <v>219</v>
      </c>
      <c r="C34" s="317" t="s">
        <v>340</v>
      </c>
      <c r="D34" s="179" t="s">
        <v>319</v>
      </c>
      <c r="E34" s="178" t="s">
        <v>318</v>
      </c>
      <c r="F34" s="180" t="str">
        <f t="shared" si="1"/>
        <v>Deer Mouse_Pso</v>
      </c>
      <c r="G34" s="190">
        <v>0.02</v>
      </c>
      <c r="H34" s="179" t="s">
        <v>320</v>
      </c>
      <c r="I34" s="318" t="s">
        <v>324</v>
      </c>
      <c r="J34" s="332" t="s">
        <v>341</v>
      </c>
    </row>
    <row r="35" spans="1:10" ht="28.8">
      <c r="A35" s="317" t="s">
        <v>332</v>
      </c>
      <c r="B35" s="318" t="s">
        <v>219</v>
      </c>
      <c r="C35" s="317" t="s">
        <v>340</v>
      </c>
      <c r="D35" s="179" t="s">
        <v>316</v>
      </c>
      <c r="E35" s="178" t="s">
        <v>9</v>
      </c>
      <c r="F35" s="180" t="str">
        <f t="shared" si="1"/>
        <v>Deer Mouse_Pveg</v>
      </c>
      <c r="G35" s="326">
        <v>0.65</v>
      </c>
      <c r="H35" s="179" t="s">
        <v>43</v>
      </c>
      <c r="I35" s="318" t="s">
        <v>288</v>
      </c>
      <c r="J35" s="339" t="s">
        <v>494</v>
      </c>
    </row>
    <row r="36" spans="1:10">
      <c r="A36" s="317" t="s">
        <v>332</v>
      </c>
      <c r="B36" s="318" t="s">
        <v>215</v>
      </c>
      <c r="C36" s="318" t="s">
        <v>400</v>
      </c>
      <c r="D36" s="319" t="s">
        <v>5</v>
      </c>
      <c r="E36" s="318" t="s">
        <v>6</v>
      </c>
      <c r="F36" s="320" t="str">
        <f t="shared" si="1"/>
        <v>Eastern Cottontail_BW</v>
      </c>
      <c r="G36" s="321">
        <v>1.1299999999999999</v>
      </c>
      <c r="H36" s="319" t="s">
        <v>26</v>
      </c>
      <c r="I36" s="318" t="s">
        <v>288</v>
      </c>
      <c r="J36" s="180" t="s">
        <v>496</v>
      </c>
    </row>
    <row r="37" spans="1:10">
      <c r="A37" s="317" t="s">
        <v>332</v>
      </c>
      <c r="B37" s="318" t="s">
        <v>215</v>
      </c>
      <c r="C37" s="318" t="s">
        <v>400</v>
      </c>
      <c r="D37" s="322" t="s">
        <v>388</v>
      </c>
      <c r="E37" s="350" t="s">
        <v>389</v>
      </c>
      <c r="F37" s="180" t="str">
        <f t="shared" si="1"/>
        <v>Eastern Cottontail_DWI</v>
      </c>
      <c r="G37" s="190">
        <f>0.097*Eastern_Cottontail_BW</f>
        <v>0.10961</v>
      </c>
      <c r="H37" s="179" t="s">
        <v>390</v>
      </c>
      <c r="I37" s="318" t="s">
        <v>288</v>
      </c>
      <c r="J37" s="318"/>
    </row>
    <row r="38" spans="1:10" ht="28.8">
      <c r="A38" s="317" t="s">
        <v>332</v>
      </c>
      <c r="B38" s="318" t="s">
        <v>215</v>
      </c>
      <c r="C38" s="318" t="s">
        <v>400</v>
      </c>
      <c r="D38" s="333" t="s">
        <v>398</v>
      </c>
      <c r="E38" s="318" t="s">
        <v>27</v>
      </c>
      <c r="F38" s="334" t="str">
        <f t="shared" si="1"/>
        <v>Eastern Cottontail_FIRdw</v>
      </c>
      <c r="G38" s="330">
        <f>(a_mamm_rodent_dw*(Eastern_Cottontail_BW*1000)^b_mamm_rodent_dw)/1000</f>
        <v>7.6598594161499653E-2</v>
      </c>
      <c r="H38" s="333" t="s">
        <v>8</v>
      </c>
      <c r="I38" s="318" t="s">
        <v>287</v>
      </c>
      <c r="J38" s="230" t="s">
        <v>484</v>
      </c>
    </row>
    <row r="39" spans="1:10" ht="28.8">
      <c r="A39" s="317" t="s">
        <v>332</v>
      </c>
      <c r="B39" s="318" t="s">
        <v>215</v>
      </c>
      <c r="C39" s="318" t="s">
        <v>400</v>
      </c>
      <c r="D39" s="333" t="s">
        <v>399</v>
      </c>
      <c r="E39" s="318" t="s">
        <v>39</v>
      </c>
      <c r="F39" s="334" t="str">
        <f t="shared" si="1"/>
        <v>Eastern Cottontail_FIRww</v>
      </c>
      <c r="G39" s="330">
        <f>(a_mamm_rodent_ww*(Eastern_Cottontail_BW*1000)^b_mamm_rodent_ww)/1000</f>
        <v>0.25540953196953725</v>
      </c>
      <c r="H39" s="333" t="s">
        <v>40</v>
      </c>
      <c r="I39" s="318" t="s">
        <v>287</v>
      </c>
      <c r="J39" s="328" t="s">
        <v>487</v>
      </c>
    </row>
    <row r="40" spans="1:10">
      <c r="A40" s="317" t="s">
        <v>332</v>
      </c>
      <c r="B40" s="318" t="s">
        <v>215</v>
      </c>
      <c r="C40" s="318" t="s">
        <v>400</v>
      </c>
      <c r="D40" s="333" t="s">
        <v>10</v>
      </c>
      <c r="E40" s="318" t="s">
        <v>11</v>
      </c>
      <c r="F40" s="334" t="str">
        <f t="shared" si="1"/>
        <v>Eastern Cottontail_HR</v>
      </c>
      <c r="G40" s="322">
        <v>7.4</v>
      </c>
      <c r="H40" s="333" t="s">
        <v>218</v>
      </c>
      <c r="I40" s="318" t="s">
        <v>288</v>
      </c>
      <c r="J40" s="318" t="s">
        <v>512</v>
      </c>
    </row>
    <row r="41" spans="1:10" ht="28.8">
      <c r="A41" s="317" t="s">
        <v>332</v>
      </c>
      <c r="B41" s="318" t="s">
        <v>215</v>
      </c>
      <c r="C41" s="318" t="s">
        <v>400</v>
      </c>
      <c r="D41" s="179" t="s">
        <v>317</v>
      </c>
      <c r="E41" s="178" t="s">
        <v>310</v>
      </c>
      <c r="F41" s="180" t="str">
        <f t="shared" ref="F41:F72" si="2">CONCATENATE(C41,"_",D41)</f>
        <v>Eastern Cottontail_Pinv</v>
      </c>
      <c r="G41" s="349">
        <v>0</v>
      </c>
      <c r="H41" s="179" t="s">
        <v>43</v>
      </c>
      <c r="I41" s="318" t="s">
        <v>288</v>
      </c>
      <c r="J41" s="243" t="s">
        <v>497</v>
      </c>
    </row>
    <row r="42" spans="1:10" ht="16.2">
      <c r="A42" s="317" t="s">
        <v>332</v>
      </c>
      <c r="B42" s="318" t="s">
        <v>215</v>
      </c>
      <c r="C42" s="318" t="s">
        <v>400</v>
      </c>
      <c r="D42" s="179" t="s">
        <v>319</v>
      </c>
      <c r="E42" s="178" t="s">
        <v>318</v>
      </c>
      <c r="F42" s="180" t="str">
        <f t="shared" si="2"/>
        <v>Eastern Cottontail_Pso</v>
      </c>
      <c r="G42" s="335">
        <f>6.3/100</f>
        <v>6.3E-2</v>
      </c>
      <c r="H42" s="179" t="s">
        <v>320</v>
      </c>
      <c r="I42" s="318" t="s">
        <v>288</v>
      </c>
      <c r="J42" s="318" t="s">
        <v>511</v>
      </c>
    </row>
    <row r="43" spans="1:10" ht="28.8">
      <c r="A43" s="317" t="s">
        <v>332</v>
      </c>
      <c r="B43" s="318" t="s">
        <v>215</v>
      </c>
      <c r="C43" s="318" t="s">
        <v>400</v>
      </c>
      <c r="D43" s="179" t="s">
        <v>316</v>
      </c>
      <c r="E43" s="178" t="s">
        <v>9</v>
      </c>
      <c r="F43" s="180" t="str">
        <f t="shared" si="2"/>
        <v>Eastern Cottontail_Pveg</v>
      </c>
      <c r="G43" s="179">
        <v>1</v>
      </c>
      <c r="H43" s="179" t="s">
        <v>43</v>
      </c>
      <c r="I43" s="318" t="s">
        <v>288</v>
      </c>
      <c r="J43" s="243" t="s">
        <v>497</v>
      </c>
    </row>
    <row r="44" spans="1:10">
      <c r="A44" s="317" t="s">
        <v>214</v>
      </c>
      <c r="B44" s="318" t="s">
        <v>219</v>
      </c>
      <c r="C44" s="318" t="s">
        <v>344</v>
      </c>
      <c r="D44" s="319" t="s">
        <v>5</v>
      </c>
      <c r="E44" s="318" t="s">
        <v>6</v>
      </c>
      <c r="F44" s="320" t="str">
        <f t="shared" si="2"/>
        <v>Florida Scrub-Jay (T&amp;E)_BW</v>
      </c>
      <c r="G44" s="326">
        <v>9.0999999999999998E-2</v>
      </c>
      <c r="H44" s="319" t="s">
        <v>26</v>
      </c>
      <c r="I44" s="318" t="s">
        <v>323</v>
      </c>
      <c r="J44" s="231" t="s">
        <v>329</v>
      </c>
    </row>
    <row r="45" spans="1:10">
      <c r="A45" s="317" t="s">
        <v>214</v>
      </c>
      <c r="B45" s="318" t="s">
        <v>219</v>
      </c>
      <c r="C45" s="318" t="s">
        <v>344</v>
      </c>
      <c r="D45" s="322" t="s">
        <v>388</v>
      </c>
      <c r="E45" s="350" t="s">
        <v>389</v>
      </c>
      <c r="F45" s="320" t="str">
        <f t="shared" si="2"/>
        <v>Florida Scrub-Jay (T&amp;E)_DWI</v>
      </c>
      <c r="G45" s="323">
        <f>0.14*Florida_Scrub_Jay_BW</f>
        <v>1.2740000000000001E-2</v>
      </c>
      <c r="H45" s="322" t="s">
        <v>390</v>
      </c>
      <c r="I45" s="180" t="s">
        <v>288</v>
      </c>
      <c r="J45" s="318" t="s">
        <v>393</v>
      </c>
    </row>
    <row r="46" spans="1:10" ht="28.8">
      <c r="A46" s="317" t="s">
        <v>214</v>
      </c>
      <c r="B46" s="318" t="s">
        <v>219</v>
      </c>
      <c r="C46" s="318" t="s">
        <v>344</v>
      </c>
      <c r="D46" s="319" t="s">
        <v>216</v>
      </c>
      <c r="E46" s="318" t="s">
        <v>27</v>
      </c>
      <c r="F46" s="320" t="str">
        <f t="shared" si="2"/>
        <v>Florida Scrub-Jay (T&amp;E)_FIRdw</v>
      </c>
      <c r="G46" s="330">
        <f>(a_avian_passerines_dw*(Florida_Scrub_Jay_BW*1000)^b_avian_passerines_dw)/1000</f>
        <v>1.3720369910684638E-2</v>
      </c>
      <c r="H46" s="319" t="s">
        <v>8</v>
      </c>
      <c r="I46" s="180" t="s">
        <v>287</v>
      </c>
      <c r="J46" s="318" t="s">
        <v>480</v>
      </c>
    </row>
    <row r="47" spans="1:10" ht="28.8">
      <c r="A47" s="317" t="s">
        <v>214</v>
      </c>
      <c r="B47" s="318" t="s">
        <v>219</v>
      </c>
      <c r="C47" s="318" t="s">
        <v>344</v>
      </c>
      <c r="D47" s="319" t="s">
        <v>217</v>
      </c>
      <c r="E47" s="318" t="s">
        <v>39</v>
      </c>
      <c r="F47" s="320" t="str">
        <f t="shared" si="2"/>
        <v>Florida Scrub-Jay (T&amp;E)_FIRww</v>
      </c>
      <c r="G47" s="330">
        <f>(a_avian_passerines_ww*(Florida_Scrub_Jay_BW*1000)^b_avian_passerines_ww)/1000</f>
        <v>3.7685286942949543E-2</v>
      </c>
      <c r="H47" s="319" t="s">
        <v>40</v>
      </c>
      <c r="I47" s="318" t="s">
        <v>287</v>
      </c>
      <c r="J47" s="180" t="s">
        <v>481</v>
      </c>
    </row>
    <row r="48" spans="1:10">
      <c r="A48" s="317" t="s">
        <v>214</v>
      </c>
      <c r="B48" s="318" t="s">
        <v>219</v>
      </c>
      <c r="C48" s="318" t="s">
        <v>344</v>
      </c>
      <c r="D48" s="319" t="s">
        <v>10</v>
      </c>
      <c r="E48" s="318" t="s">
        <v>11</v>
      </c>
      <c r="F48" s="320" t="str">
        <f t="shared" si="2"/>
        <v>Florida Scrub-Jay (T&amp;E)_HR</v>
      </c>
      <c r="G48" s="353">
        <v>22</v>
      </c>
      <c r="H48" s="319" t="s">
        <v>218</v>
      </c>
      <c r="I48" s="180" t="s">
        <v>323</v>
      </c>
      <c r="J48" s="228" t="s">
        <v>329</v>
      </c>
    </row>
    <row r="49" spans="1:12" ht="28.8">
      <c r="A49" s="317" t="s">
        <v>214</v>
      </c>
      <c r="B49" s="318" t="s">
        <v>219</v>
      </c>
      <c r="C49" s="318" t="s">
        <v>344</v>
      </c>
      <c r="D49" s="179" t="s">
        <v>317</v>
      </c>
      <c r="E49" s="178" t="s">
        <v>310</v>
      </c>
      <c r="F49" s="180" t="str">
        <f t="shared" si="2"/>
        <v>Florida Scrub-Jay (T&amp;E)_Pinv</v>
      </c>
      <c r="G49" s="190">
        <v>0.6</v>
      </c>
      <c r="H49" s="179" t="s">
        <v>43</v>
      </c>
      <c r="I49" s="318" t="s">
        <v>322</v>
      </c>
      <c r="J49" s="169" t="s">
        <v>498</v>
      </c>
    </row>
    <row r="50" spans="1:12" ht="28.8">
      <c r="A50" s="317" t="s">
        <v>214</v>
      </c>
      <c r="B50" s="318" t="s">
        <v>219</v>
      </c>
      <c r="C50" s="318" t="s">
        <v>344</v>
      </c>
      <c r="D50" s="179" t="s">
        <v>319</v>
      </c>
      <c r="E50" s="178" t="s">
        <v>318</v>
      </c>
      <c r="F50" s="180" t="str">
        <f t="shared" si="2"/>
        <v>Florida Scrub-Jay (T&amp;E)_Pso</v>
      </c>
      <c r="G50" s="349">
        <v>0</v>
      </c>
      <c r="H50" s="179" t="s">
        <v>320</v>
      </c>
      <c r="I50" s="318" t="s">
        <v>322</v>
      </c>
      <c r="J50" s="329" t="s">
        <v>491</v>
      </c>
    </row>
    <row r="51" spans="1:12" ht="28.8">
      <c r="A51" s="317" t="s">
        <v>214</v>
      </c>
      <c r="B51" s="318" t="s">
        <v>219</v>
      </c>
      <c r="C51" s="318" t="s">
        <v>344</v>
      </c>
      <c r="D51" s="179" t="s">
        <v>316</v>
      </c>
      <c r="E51" s="178" t="s">
        <v>9</v>
      </c>
      <c r="F51" s="180" t="str">
        <f t="shared" si="2"/>
        <v>Florida Scrub-Jay (T&amp;E)_Pveg</v>
      </c>
      <c r="G51" s="190">
        <v>0.4</v>
      </c>
      <c r="H51" s="179" t="s">
        <v>43</v>
      </c>
      <c r="I51" s="318" t="s">
        <v>322</v>
      </c>
      <c r="J51" s="169" t="s">
        <v>498</v>
      </c>
    </row>
    <row r="52" spans="1:12">
      <c r="A52" s="317" t="s">
        <v>214</v>
      </c>
      <c r="B52" s="318" t="s">
        <v>219</v>
      </c>
      <c r="C52" s="318" t="s">
        <v>328</v>
      </c>
      <c r="D52" s="319" t="s">
        <v>5</v>
      </c>
      <c r="E52" s="318" t="s">
        <v>6</v>
      </c>
      <c r="F52" s="320" t="str">
        <f t="shared" si="2"/>
        <v>Lapland Longspur_BW</v>
      </c>
      <c r="G52" s="321">
        <v>2.7E-2</v>
      </c>
      <c r="H52" s="319" t="s">
        <v>26</v>
      </c>
      <c r="I52" s="318" t="s">
        <v>323</v>
      </c>
      <c r="J52" s="228" t="s">
        <v>329</v>
      </c>
    </row>
    <row r="53" spans="1:12">
      <c r="A53" s="317" t="s">
        <v>214</v>
      </c>
      <c r="B53" s="318" t="s">
        <v>219</v>
      </c>
      <c r="C53" s="318" t="s">
        <v>328</v>
      </c>
      <c r="D53" s="322" t="s">
        <v>388</v>
      </c>
      <c r="E53" s="350" t="s">
        <v>389</v>
      </c>
      <c r="F53" s="336" t="str">
        <f t="shared" si="2"/>
        <v>Lapland Longspur_DWI</v>
      </c>
      <c r="G53" s="322">
        <f>0.1*Lapland_Longspur_BW</f>
        <v>2.7000000000000001E-3</v>
      </c>
      <c r="H53" s="322" t="s">
        <v>390</v>
      </c>
      <c r="I53" s="180" t="s">
        <v>288</v>
      </c>
      <c r="J53" s="318" t="s">
        <v>392</v>
      </c>
    </row>
    <row r="54" spans="1:12" ht="28.8">
      <c r="A54" s="317" t="s">
        <v>214</v>
      </c>
      <c r="B54" s="318" t="s">
        <v>219</v>
      </c>
      <c r="C54" s="318" t="s">
        <v>328</v>
      </c>
      <c r="D54" s="319" t="s">
        <v>216</v>
      </c>
      <c r="E54" s="318" t="s">
        <v>27</v>
      </c>
      <c r="F54" s="320" t="str">
        <f t="shared" si="2"/>
        <v>Lapland Longspur_FIRdw</v>
      </c>
      <c r="G54" s="330">
        <f>(a_avian_passerines_dw*(Lapland_Longspur_BW*1000)^b_avian_passerines_dw)/1000</f>
        <v>5.9835923790898249E-3</v>
      </c>
      <c r="H54" s="319" t="s">
        <v>8</v>
      </c>
      <c r="I54" s="318" t="s">
        <v>287</v>
      </c>
      <c r="J54" s="318" t="s">
        <v>480</v>
      </c>
    </row>
    <row r="55" spans="1:12" ht="16.05" customHeight="1">
      <c r="A55" s="317" t="s">
        <v>214</v>
      </c>
      <c r="B55" s="318" t="s">
        <v>219</v>
      </c>
      <c r="C55" s="318" t="s">
        <v>328</v>
      </c>
      <c r="D55" s="319" t="s">
        <v>217</v>
      </c>
      <c r="E55" s="318" t="s">
        <v>39</v>
      </c>
      <c r="F55" s="320" t="str">
        <f t="shared" si="2"/>
        <v>Lapland Longspur_FIRww</v>
      </c>
      <c r="G55" s="330">
        <f>(a_avian_passerines_ww*(Lapland_Longspur_BW*1000)^b_avian_passerines_ww)/1000</f>
        <v>1.8024843643765477E-2</v>
      </c>
      <c r="H55" s="319" t="s">
        <v>40</v>
      </c>
      <c r="I55" s="198" t="s">
        <v>287</v>
      </c>
      <c r="J55" s="180" t="s">
        <v>481</v>
      </c>
    </row>
    <row r="56" spans="1:12">
      <c r="A56" s="317" t="s">
        <v>214</v>
      </c>
      <c r="B56" s="318" t="s">
        <v>219</v>
      </c>
      <c r="C56" s="318" t="s">
        <v>328</v>
      </c>
      <c r="D56" s="319" t="s">
        <v>10</v>
      </c>
      <c r="E56" s="318" t="s">
        <v>11</v>
      </c>
      <c r="F56" s="320" t="str">
        <f t="shared" si="2"/>
        <v>Lapland Longspur_HR</v>
      </c>
      <c r="G56" s="352">
        <v>9.8000000000000007</v>
      </c>
      <c r="H56" s="319" t="s">
        <v>218</v>
      </c>
      <c r="I56" s="318" t="s">
        <v>524</v>
      </c>
      <c r="J56" s="329" t="s">
        <v>523</v>
      </c>
    </row>
    <row r="57" spans="1:12" ht="28.8">
      <c r="A57" s="317" t="s">
        <v>214</v>
      </c>
      <c r="B57" s="318" t="s">
        <v>219</v>
      </c>
      <c r="C57" s="318" t="s">
        <v>328</v>
      </c>
      <c r="D57" s="179" t="s">
        <v>317</v>
      </c>
      <c r="E57" s="178" t="s">
        <v>310</v>
      </c>
      <c r="F57" s="180" t="str">
        <f t="shared" si="2"/>
        <v>Lapland Longspur_Pinv</v>
      </c>
      <c r="G57" s="190">
        <v>0.4</v>
      </c>
      <c r="H57" s="179" t="s">
        <v>43</v>
      </c>
      <c r="I57" s="231" t="s">
        <v>514</v>
      </c>
      <c r="J57" s="329" t="s">
        <v>513</v>
      </c>
      <c r="K57" s="498"/>
      <c r="L57" s="498"/>
    </row>
    <row r="58" spans="1:12" ht="16.2">
      <c r="A58" s="317" t="s">
        <v>214</v>
      </c>
      <c r="B58" s="318" t="s">
        <v>219</v>
      </c>
      <c r="C58" s="318" t="s">
        <v>328</v>
      </c>
      <c r="D58" s="179" t="s">
        <v>319</v>
      </c>
      <c r="E58" s="178" t="s">
        <v>318</v>
      </c>
      <c r="F58" s="180" t="str">
        <f t="shared" si="2"/>
        <v>Lapland Longspur_Pso</v>
      </c>
      <c r="G58" s="190">
        <v>0.104</v>
      </c>
      <c r="H58" s="179" t="s">
        <v>320</v>
      </c>
      <c r="I58" s="318" t="s">
        <v>545</v>
      </c>
      <c r="J58" s="329" t="s">
        <v>509</v>
      </c>
    </row>
    <row r="59" spans="1:12" ht="28.8">
      <c r="A59" s="317" t="s">
        <v>214</v>
      </c>
      <c r="B59" s="318" t="s">
        <v>219</v>
      </c>
      <c r="C59" s="318" t="s">
        <v>328</v>
      </c>
      <c r="D59" s="179" t="s">
        <v>316</v>
      </c>
      <c r="E59" s="178" t="s">
        <v>9</v>
      </c>
      <c r="F59" s="180" t="str">
        <f t="shared" si="2"/>
        <v>Lapland Longspur_Pveg</v>
      </c>
      <c r="G59" s="327">
        <v>0.6</v>
      </c>
      <c r="H59" s="179" t="s">
        <v>43</v>
      </c>
      <c r="I59" s="231" t="s">
        <v>514</v>
      </c>
      <c r="J59" s="329" t="s">
        <v>513</v>
      </c>
    </row>
    <row r="60" spans="1:12">
      <c r="A60" s="317" t="s">
        <v>214</v>
      </c>
      <c r="B60" s="318" t="s">
        <v>215</v>
      </c>
      <c r="C60" s="317" t="s">
        <v>343</v>
      </c>
      <c r="D60" s="319" t="s">
        <v>5</v>
      </c>
      <c r="E60" s="318" t="s">
        <v>6</v>
      </c>
      <c r="F60" s="320" t="str">
        <f t="shared" si="2"/>
        <v>Masked Bobwhite Quail (T&amp;E)_BW</v>
      </c>
      <c r="G60" s="326">
        <f>Northern_Bobwhite_Quail_BW</f>
        <v>0.19</v>
      </c>
      <c r="H60" s="319" t="s">
        <v>26</v>
      </c>
      <c r="I60" s="318" t="s">
        <v>288</v>
      </c>
      <c r="J60" s="340" t="s">
        <v>499</v>
      </c>
    </row>
    <row r="61" spans="1:12">
      <c r="A61" s="317" t="s">
        <v>214</v>
      </c>
      <c r="B61" s="318" t="s">
        <v>215</v>
      </c>
      <c r="C61" s="317" t="s">
        <v>343</v>
      </c>
      <c r="D61" s="322" t="s">
        <v>388</v>
      </c>
      <c r="E61" s="350" t="s">
        <v>389</v>
      </c>
      <c r="F61" s="336" t="str">
        <f t="shared" si="2"/>
        <v>Masked Bobwhite Quail (T&amp;E)_DWI</v>
      </c>
      <c r="G61" s="326">
        <f>0.13*Masked_Bobwhite_Quail_BW</f>
        <v>2.47E-2</v>
      </c>
      <c r="H61" s="322" t="s">
        <v>390</v>
      </c>
      <c r="I61" s="318" t="s">
        <v>288</v>
      </c>
      <c r="J61" s="318" t="s">
        <v>391</v>
      </c>
    </row>
    <row r="62" spans="1:12" ht="15" customHeight="1">
      <c r="A62" s="317" t="s">
        <v>214</v>
      </c>
      <c r="B62" s="318" t="s">
        <v>215</v>
      </c>
      <c r="C62" s="317" t="s">
        <v>343</v>
      </c>
      <c r="D62" s="319" t="s">
        <v>216</v>
      </c>
      <c r="E62" s="318" t="s">
        <v>27</v>
      </c>
      <c r="F62" s="320" t="str">
        <f t="shared" si="2"/>
        <v>Masked Bobwhite Quail (T&amp;E)_FIRdw</v>
      </c>
      <c r="G62" s="321">
        <f>(a_avian_galliformes_dw*(Masked_Bobwhite_Quail_BW*1000)^b_avian_galliformes_dw)/1000</f>
        <v>9.4373949538098661E-3</v>
      </c>
      <c r="H62" s="319" t="s">
        <v>8</v>
      </c>
      <c r="I62" s="198" t="s">
        <v>287</v>
      </c>
      <c r="J62" s="229" t="s">
        <v>485</v>
      </c>
    </row>
    <row r="63" spans="1:12" ht="28.8">
      <c r="A63" s="317" t="s">
        <v>214</v>
      </c>
      <c r="B63" s="318" t="s">
        <v>215</v>
      </c>
      <c r="C63" s="317" t="s">
        <v>343</v>
      </c>
      <c r="D63" s="319" t="s">
        <v>217</v>
      </c>
      <c r="E63" s="318" t="s">
        <v>39</v>
      </c>
      <c r="F63" s="320" t="str">
        <f t="shared" si="2"/>
        <v>Masked Bobwhite Quail (T&amp;E)_FIRww</v>
      </c>
      <c r="G63" s="321">
        <f>(a_avian_omnivore_ww*(Masked_Bobwhite_Quail_BW*1000)^b_avian_omnivore_ww)/1000</f>
        <v>5.6202441875232705E-2</v>
      </c>
      <c r="H63" s="319" t="s">
        <v>40</v>
      </c>
      <c r="I63" s="198" t="s">
        <v>287</v>
      </c>
      <c r="J63" s="318" t="s">
        <v>486</v>
      </c>
    </row>
    <row r="64" spans="1:12">
      <c r="A64" s="317" t="s">
        <v>214</v>
      </c>
      <c r="B64" s="318" t="s">
        <v>215</v>
      </c>
      <c r="C64" s="317" t="s">
        <v>343</v>
      </c>
      <c r="D64" s="319" t="s">
        <v>10</v>
      </c>
      <c r="E64" s="318" t="s">
        <v>11</v>
      </c>
      <c r="F64" s="320" t="str">
        <f t="shared" si="2"/>
        <v>Masked Bobwhite Quail (T&amp;E)_HR</v>
      </c>
      <c r="G64" s="352">
        <v>9</v>
      </c>
      <c r="H64" s="319" t="s">
        <v>218</v>
      </c>
      <c r="I64" s="180" t="s">
        <v>288</v>
      </c>
      <c r="J64" s="318" t="s">
        <v>326</v>
      </c>
    </row>
    <row r="65" spans="1:10" ht="28.8">
      <c r="A65" s="317" t="s">
        <v>214</v>
      </c>
      <c r="B65" s="318" t="s">
        <v>215</v>
      </c>
      <c r="C65" s="317" t="s">
        <v>343</v>
      </c>
      <c r="D65" s="179" t="s">
        <v>317</v>
      </c>
      <c r="E65" s="178" t="s">
        <v>310</v>
      </c>
      <c r="F65" s="180" t="str">
        <f t="shared" si="2"/>
        <v>Masked Bobwhite Quail (T&amp;E)_Pinv</v>
      </c>
      <c r="G65" s="190">
        <v>0.2</v>
      </c>
      <c r="H65" s="179" t="s">
        <v>43</v>
      </c>
      <c r="I65" s="318" t="s">
        <v>347</v>
      </c>
      <c r="J65" s="180" t="s">
        <v>346</v>
      </c>
    </row>
    <row r="66" spans="1:10" ht="28.8">
      <c r="A66" s="317" t="s">
        <v>214</v>
      </c>
      <c r="B66" s="318" t="s">
        <v>215</v>
      </c>
      <c r="C66" s="317" t="s">
        <v>343</v>
      </c>
      <c r="D66" s="179" t="s">
        <v>319</v>
      </c>
      <c r="E66" s="178" t="s">
        <v>318</v>
      </c>
      <c r="F66" s="180" t="str">
        <f t="shared" si="2"/>
        <v>Masked Bobwhite Quail (T&amp;E)_Pso</v>
      </c>
      <c r="G66" s="190">
        <v>0.01</v>
      </c>
      <c r="H66" s="179" t="s">
        <v>320</v>
      </c>
      <c r="I66" s="180" t="s">
        <v>288</v>
      </c>
      <c r="J66" s="348" t="s">
        <v>510</v>
      </c>
    </row>
    <row r="67" spans="1:10" ht="28.8">
      <c r="A67" s="317" t="s">
        <v>214</v>
      </c>
      <c r="B67" s="318" t="s">
        <v>215</v>
      </c>
      <c r="C67" s="317" t="s">
        <v>343</v>
      </c>
      <c r="D67" s="179" t="s">
        <v>316</v>
      </c>
      <c r="E67" s="178" t="s">
        <v>9</v>
      </c>
      <c r="F67" s="180" t="str">
        <f t="shared" si="2"/>
        <v>Masked Bobwhite Quail (T&amp;E)_Pveg</v>
      </c>
      <c r="G67" s="190">
        <v>0.8</v>
      </c>
      <c r="H67" s="179" t="s">
        <v>43</v>
      </c>
      <c r="I67" s="318" t="s">
        <v>347</v>
      </c>
      <c r="J67" s="180" t="s">
        <v>346</v>
      </c>
    </row>
    <row r="68" spans="1:10">
      <c r="A68" s="317" t="s">
        <v>332</v>
      </c>
      <c r="B68" s="318" t="s">
        <v>215</v>
      </c>
      <c r="C68" s="318" t="s">
        <v>337</v>
      </c>
      <c r="D68" s="319" t="s">
        <v>5</v>
      </c>
      <c r="E68" s="318" t="s">
        <v>6</v>
      </c>
      <c r="F68" s="320" t="str">
        <f t="shared" si="2"/>
        <v>Meadow Vole_BW</v>
      </c>
      <c r="G68" s="321">
        <v>3.5499999999999997E-2</v>
      </c>
      <c r="H68" s="319" t="s">
        <v>26</v>
      </c>
      <c r="I68" s="180" t="s">
        <v>288</v>
      </c>
      <c r="J68" s="198" t="s">
        <v>519</v>
      </c>
    </row>
    <row r="69" spans="1:10">
      <c r="A69" s="317" t="s">
        <v>332</v>
      </c>
      <c r="B69" s="318" t="s">
        <v>215</v>
      </c>
      <c r="C69" s="318" t="s">
        <v>337</v>
      </c>
      <c r="D69" s="322" t="s">
        <v>388</v>
      </c>
      <c r="E69" s="350" t="s">
        <v>389</v>
      </c>
      <c r="F69" s="336" t="str">
        <f t="shared" si="2"/>
        <v>Meadow Vole_DWI</v>
      </c>
      <c r="G69" s="327">
        <f>0.21*Meadow_Vole_BW</f>
        <v>7.454999999999999E-3</v>
      </c>
      <c r="H69" s="322" t="s">
        <v>390</v>
      </c>
      <c r="I69" s="180" t="s">
        <v>288</v>
      </c>
      <c r="J69" s="318" t="s">
        <v>396</v>
      </c>
    </row>
    <row r="70" spans="1:10" ht="28.8">
      <c r="A70" s="317" t="s">
        <v>332</v>
      </c>
      <c r="B70" s="318" t="s">
        <v>215</v>
      </c>
      <c r="C70" s="318" t="s">
        <v>337</v>
      </c>
      <c r="D70" s="319" t="s">
        <v>216</v>
      </c>
      <c r="E70" s="318" t="s">
        <v>27</v>
      </c>
      <c r="F70" s="320" t="str">
        <f t="shared" si="2"/>
        <v>Meadow Vole_FIRdw</v>
      </c>
      <c r="G70" s="330">
        <f>(a_mamm_rodent_dw*(Meadow_Vole_BW*1000)^b_mamm_rodent_dw)/1000</f>
        <v>5.2603522753703631E-3</v>
      </c>
      <c r="H70" s="319" t="s">
        <v>8</v>
      </c>
      <c r="I70" s="180" t="s">
        <v>287</v>
      </c>
      <c r="J70" s="230" t="s">
        <v>484</v>
      </c>
    </row>
    <row r="71" spans="1:10" ht="28.8">
      <c r="A71" s="317" t="s">
        <v>332</v>
      </c>
      <c r="B71" s="318" t="s">
        <v>215</v>
      </c>
      <c r="C71" s="318" t="s">
        <v>337</v>
      </c>
      <c r="D71" s="319" t="s">
        <v>217</v>
      </c>
      <c r="E71" s="318" t="s">
        <v>39</v>
      </c>
      <c r="F71" s="320" t="str">
        <f t="shared" si="2"/>
        <v>Meadow Vole_FIRww</v>
      </c>
      <c r="G71" s="330">
        <f>(a_mamm_rodent_ww*(Meadow_Vole_BW*1000)^b_mamm_rodent_ww)/1000</f>
        <v>1.2846198341726005E-2</v>
      </c>
      <c r="H71" s="319" t="s">
        <v>40</v>
      </c>
      <c r="I71" s="180" t="s">
        <v>287</v>
      </c>
      <c r="J71" s="328" t="s">
        <v>487</v>
      </c>
    </row>
    <row r="72" spans="1:10">
      <c r="A72" s="317" t="s">
        <v>332</v>
      </c>
      <c r="B72" s="318" t="s">
        <v>215</v>
      </c>
      <c r="C72" s="318" t="s">
        <v>337</v>
      </c>
      <c r="D72" s="319" t="s">
        <v>10</v>
      </c>
      <c r="E72" s="318" t="s">
        <v>11</v>
      </c>
      <c r="F72" s="320" t="str">
        <f t="shared" si="2"/>
        <v>Meadow Vole_HR</v>
      </c>
      <c r="G72" s="326">
        <v>7.9000000000000001E-2</v>
      </c>
      <c r="H72" s="319" t="s">
        <v>218</v>
      </c>
      <c r="I72" s="180" t="s">
        <v>288</v>
      </c>
      <c r="J72" s="367" t="s">
        <v>520</v>
      </c>
    </row>
    <row r="73" spans="1:10" ht="28.8">
      <c r="A73" s="317" t="s">
        <v>332</v>
      </c>
      <c r="B73" s="318" t="s">
        <v>215</v>
      </c>
      <c r="C73" s="318" t="s">
        <v>337</v>
      </c>
      <c r="D73" s="179" t="s">
        <v>317</v>
      </c>
      <c r="E73" s="178" t="s">
        <v>310</v>
      </c>
      <c r="F73" s="180" t="str">
        <f t="shared" ref="F73:F83" si="3">CONCATENATE(C73,"_",D73)</f>
        <v>Meadow Vole_Pinv</v>
      </c>
      <c r="G73" s="179">
        <v>0.02</v>
      </c>
      <c r="H73" s="179" t="s">
        <v>43</v>
      </c>
      <c r="I73" s="318" t="s">
        <v>324</v>
      </c>
      <c r="J73" s="318"/>
    </row>
    <row r="74" spans="1:10" ht="16.2">
      <c r="A74" s="317" t="s">
        <v>332</v>
      </c>
      <c r="B74" s="318" t="s">
        <v>215</v>
      </c>
      <c r="C74" s="318" t="s">
        <v>337</v>
      </c>
      <c r="D74" s="179" t="s">
        <v>319</v>
      </c>
      <c r="E74" s="178" t="s">
        <v>318</v>
      </c>
      <c r="F74" s="180" t="str">
        <f t="shared" si="3"/>
        <v>Meadow Vole_Pso</v>
      </c>
      <c r="G74" s="190">
        <v>2.4E-2</v>
      </c>
      <c r="H74" s="179" t="s">
        <v>320</v>
      </c>
      <c r="I74" s="318" t="s">
        <v>288</v>
      </c>
      <c r="J74" s="180" t="s">
        <v>536</v>
      </c>
    </row>
    <row r="75" spans="1:10" ht="28.8">
      <c r="A75" s="317" t="s">
        <v>332</v>
      </c>
      <c r="B75" s="318" t="s">
        <v>215</v>
      </c>
      <c r="C75" s="318" t="s">
        <v>337</v>
      </c>
      <c r="D75" s="179" t="s">
        <v>316</v>
      </c>
      <c r="E75" s="178" t="s">
        <v>9</v>
      </c>
      <c r="F75" s="180" t="str">
        <f t="shared" si="3"/>
        <v>Meadow Vole_Pveg</v>
      </c>
      <c r="G75" s="356">
        <v>0.98</v>
      </c>
      <c r="H75" s="179" t="s">
        <v>43</v>
      </c>
      <c r="I75" s="318" t="s">
        <v>324</v>
      </c>
      <c r="J75" s="318"/>
    </row>
    <row r="76" spans="1:10">
      <c r="A76" s="317" t="s">
        <v>214</v>
      </c>
      <c r="B76" s="318" t="s">
        <v>215</v>
      </c>
      <c r="C76" s="318" t="s">
        <v>325</v>
      </c>
      <c r="D76" s="319" t="s">
        <v>5</v>
      </c>
      <c r="E76" s="318" t="s">
        <v>6</v>
      </c>
      <c r="F76" s="320" t="str">
        <f t="shared" si="3"/>
        <v>Northern Bobwhite Quail_BW</v>
      </c>
      <c r="G76" s="326">
        <v>0.19</v>
      </c>
      <c r="H76" s="319" t="s">
        <v>26</v>
      </c>
      <c r="I76" s="318" t="s">
        <v>288</v>
      </c>
      <c r="J76" s="228"/>
    </row>
    <row r="77" spans="1:10">
      <c r="A77" s="317" t="s">
        <v>214</v>
      </c>
      <c r="B77" s="318" t="s">
        <v>215</v>
      </c>
      <c r="C77" s="318" t="s">
        <v>325</v>
      </c>
      <c r="D77" s="322" t="s">
        <v>388</v>
      </c>
      <c r="E77" s="350" t="s">
        <v>389</v>
      </c>
      <c r="F77" s="320" t="str">
        <f t="shared" si="3"/>
        <v>Northern Bobwhite Quail_DWI</v>
      </c>
      <c r="G77" s="326">
        <f>0.13*Northern_Bobwhite_Quail_BW</f>
        <v>2.47E-2</v>
      </c>
      <c r="H77" s="322" t="s">
        <v>390</v>
      </c>
      <c r="I77" s="318" t="s">
        <v>288</v>
      </c>
      <c r="J77" s="318" t="s">
        <v>391</v>
      </c>
    </row>
    <row r="78" spans="1:10" ht="28.8">
      <c r="A78" s="317" t="s">
        <v>214</v>
      </c>
      <c r="B78" s="318" t="s">
        <v>215</v>
      </c>
      <c r="C78" s="318" t="s">
        <v>325</v>
      </c>
      <c r="D78" s="319" t="s">
        <v>216</v>
      </c>
      <c r="E78" s="318" t="s">
        <v>27</v>
      </c>
      <c r="F78" s="320" t="str">
        <f t="shared" si="3"/>
        <v>Northern Bobwhite Quail_FIRdw</v>
      </c>
      <c r="G78" s="321">
        <f>(a_avian_galliformes_dw*(Northern_Bobwhite_Quail_BW*1000)^b_avian_galliformes_dw)/1000</f>
        <v>9.4373949538098661E-3</v>
      </c>
      <c r="H78" s="319" t="s">
        <v>8</v>
      </c>
      <c r="I78" s="198" t="s">
        <v>287</v>
      </c>
      <c r="J78" s="229" t="s">
        <v>485</v>
      </c>
    </row>
    <row r="79" spans="1:10" ht="28.8">
      <c r="A79" s="317" t="s">
        <v>214</v>
      </c>
      <c r="B79" s="318" t="s">
        <v>215</v>
      </c>
      <c r="C79" s="318" t="s">
        <v>325</v>
      </c>
      <c r="D79" s="319" t="s">
        <v>217</v>
      </c>
      <c r="E79" s="318" t="s">
        <v>39</v>
      </c>
      <c r="F79" s="320" t="str">
        <f t="shared" si="3"/>
        <v>Northern Bobwhite Quail_FIRww</v>
      </c>
      <c r="G79" s="321">
        <f>(a_avian_omnivore_ww*(Northern_Bobwhite_Quail_BW*1000)^b_avian_omnivore_ww)/1000</f>
        <v>5.6202441875232705E-2</v>
      </c>
      <c r="H79" s="319" t="s">
        <v>40</v>
      </c>
      <c r="I79" s="198" t="s">
        <v>287</v>
      </c>
      <c r="J79" s="318" t="s">
        <v>486</v>
      </c>
    </row>
    <row r="80" spans="1:10">
      <c r="A80" s="317" t="s">
        <v>214</v>
      </c>
      <c r="B80" s="318" t="s">
        <v>215</v>
      </c>
      <c r="C80" s="318" t="s">
        <v>325</v>
      </c>
      <c r="D80" s="319" t="s">
        <v>10</v>
      </c>
      <c r="E80" s="318" t="s">
        <v>11</v>
      </c>
      <c r="F80" s="320" t="str">
        <f t="shared" si="3"/>
        <v>Northern Bobwhite Quail_HR</v>
      </c>
      <c r="G80" s="352">
        <v>9</v>
      </c>
      <c r="H80" s="319" t="s">
        <v>218</v>
      </c>
      <c r="I80" s="180" t="s">
        <v>288</v>
      </c>
      <c r="J80" s="318" t="s">
        <v>326</v>
      </c>
    </row>
    <row r="81" spans="1:10" ht="28.8">
      <c r="A81" s="317" t="s">
        <v>214</v>
      </c>
      <c r="B81" s="318" t="s">
        <v>215</v>
      </c>
      <c r="C81" s="318" t="s">
        <v>325</v>
      </c>
      <c r="D81" s="179" t="s">
        <v>317</v>
      </c>
      <c r="E81" s="178" t="s">
        <v>310</v>
      </c>
      <c r="F81" s="180" t="str">
        <f t="shared" si="3"/>
        <v>Northern Bobwhite Quail_Pinv</v>
      </c>
      <c r="G81" s="190">
        <v>0.17499999999999999</v>
      </c>
      <c r="H81" s="179" t="s">
        <v>43</v>
      </c>
      <c r="I81" s="318" t="s">
        <v>324</v>
      </c>
      <c r="J81" s="180" t="s">
        <v>518</v>
      </c>
    </row>
    <row r="82" spans="1:10" ht="28.8">
      <c r="A82" s="317" t="s">
        <v>214</v>
      </c>
      <c r="B82" s="318" t="s">
        <v>215</v>
      </c>
      <c r="C82" s="318" t="s">
        <v>325</v>
      </c>
      <c r="D82" s="179" t="s">
        <v>319</v>
      </c>
      <c r="E82" s="178" t="s">
        <v>318</v>
      </c>
      <c r="F82" s="180" t="str">
        <f t="shared" si="3"/>
        <v>Northern Bobwhite Quail_Pso</v>
      </c>
      <c r="G82" s="190">
        <v>0.01</v>
      </c>
      <c r="H82" s="179" t="s">
        <v>320</v>
      </c>
      <c r="I82" s="180" t="s">
        <v>288</v>
      </c>
      <c r="J82" s="348" t="s">
        <v>510</v>
      </c>
    </row>
    <row r="83" spans="1:10" ht="28.8">
      <c r="A83" s="317" t="s">
        <v>214</v>
      </c>
      <c r="B83" s="318" t="s">
        <v>215</v>
      </c>
      <c r="C83" s="318" t="s">
        <v>325</v>
      </c>
      <c r="D83" s="179" t="s">
        <v>316</v>
      </c>
      <c r="E83" s="178" t="s">
        <v>9</v>
      </c>
      <c r="F83" s="180" t="str">
        <f t="shared" si="3"/>
        <v>Northern Bobwhite Quail_Pveg</v>
      </c>
      <c r="G83" s="190">
        <v>0.82499999999999996</v>
      </c>
      <c r="H83" s="179" t="s">
        <v>43</v>
      </c>
      <c r="I83" s="318" t="s">
        <v>324</v>
      </c>
      <c r="J83" s="180" t="s">
        <v>537</v>
      </c>
    </row>
    <row r="84" spans="1:10" ht="28.8">
      <c r="A84" s="317" t="s">
        <v>332</v>
      </c>
      <c r="B84" s="318" t="s">
        <v>219</v>
      </c>
      <c r="C84" s="317" t="s">
        <v>528</v>
      </c>
      <c r="D84" s="319" t="s">
        <v>5</v>
      </c>
      <c r="E84" s="318" t="s">
        <v>6</v>
      </c>
      <c r="F84" s="320" t="str">
        <f t="shared" ref="F84:F99" si="4">CONCATENATE(C84,"_",D84)</f>
        <v>Anastasia Beach Deermouse (T&amp;E)_BW</v>
      </c>
      <c r="G84" s="326">
        <v>3.3000000000000002E-2</v>
      </c>
      <c r="H84" s="319" t="s">
        <v>26</v>
      </c>
      <c r="I84" s="180" t="s">
        <v>349</v>
      </c>
      <c r="J84" s="198" t="s">
        <v>350</v>
      </c>
    </row>
    <row r="85" spans="1:10">
      <c r="A85" s="317" t="s">
        <v>332</v>
      </c>
      <c r="B85" s="318" t="s">
        <v>219</v>
      </c>
      <c r="C85" s="317" t="s">
        <v>528</v>
      </c>
      <c r="D85" s="322" t="s">
        <v>388</v>
      </c>
      <c r="E85" s="350" t="s">
        <v>389</v>
      </c>
      <c r="F85" s="331" t="str">
        <f t="shared" si="4"/>
        <v>Anastasia Beach Deermouse (T&amp;E)_DWI</v>
      </c>
      <c r="G85" s="190">
        <f>0.19*Pungo_White_Footed_Deermouse_BW</f>
        <v>6.2700000000000004E-3</v>
      </c>
      <c r="H85" s="322" t="s">
        <v>390</v>
      </c>
      <c r="I85" s="318" t="s">
        <v>288</v>
      </c>
      <c r="J85" s="180" t="s">
        <v>395</v>
      </c>
    </row>
    <row r="86" spans="1:10" ht="28.8">
      <c r="A86" s="317" t="s">
        <v>332</v>
      </c>
      <c r="B86" s="318" t="s">
        <v>219</v>
      </c>
      <c r="C86" s="317" t="s">
        <v>528</v>
      </c>
      <c r="D86" s="319" t="s">
        <v>216</v>
      </c>
      <c r="E86" s="318" t="s">
        <v>27</v>
      </c>
      <c r="F86" s="320" t="str">
        <f t="shared" si="4"/>
        <v>Anastasia Beach Deermouse (T&amp;E)_FIRdw</v>
      </c>
      <c r="G86" s="330">
        <f>(a_mamm_rodent_dw*(Pungo_White_Footed_Deermouse_BW*1000)^b_mamm_rodent_dw)/1000</f>
        <v>4.9712759746982013E-3</v>
      </c>
      <c r="H86" s="319" t="s">
        <v>8</v>
      </c>
      <c r="I86" s="180" t="s">
        <v>287</v>
      </c>
      <c r="J86" s="230" t="s">
        <v>484</v>
      </c>
    </row>
    <row r="87" spans="1:10" ht="28.8">
      <c r="A87" s="317" t="s">
        <v>332</v>
      </c>
      <c r="B87" s="318" t="s">
        <v>219</v>
      </c>
      <c r="C87" s="317" t="s">
        <v>528</v>
      </c>
      <c r="D87" s="319" t="s">
        <v>217</v>
      </c>
      <c r="E87" s="318" t="s">
        <v>39</v>
      </c>
      <c r="F87" s="320" t="str">
        <f t="shared" si="4"/>
        <v>Anastasia Beach Deermouse (T&amp;E)_FIRww</v>
      </c>
      <c r="G87" s="330">
        <f>(a_mamm_rodent_ww*(Pungo_White_Footed_Deermouse_BW*1000)^b_mamm_rodent_ww)/1000</f>
        <v>1.2060723751053539E-2</v>
      </c>
      <c r="H87" s="319" t="s">
        <v>40</v>
      </c>
      <c r="I87" s="180" t="s">
        <v>287</v>
      </c>
      <c r="J87" s="328" t="s">
        <v>487</v>
      </c>
    </row>
    <row r="88" spans="1:10">
      <c r="A88" s="317" t="s">
        <v>332</v>
      </c>
      <c r="B88" s="318" t="s">
        <v>219</v>
      </c>
      <c r="C88" s="317" t="s">
        <v>528</v>
      </c>
      <c r="D88" s="319" t="s">
        <v>10</v>
      </c>
      <c r="E88" s="318" t="s">
        <v>11</v>
      </c>
      <c r="F88" s="320" t="str">
        <f t="shared" si="4"/>
        <v>Anastasia Beach Deermouse (T&amp;E)_HR</v>
      </c>
      <c r="G88" s="190">
        <v>0.15</v>
      </c>
      <c r="H88" s="319" t="s">
        <v>218</v>
      </c>
      <c r="I88" s="318" t="s">
        <v>288</v>
      </c>
      <c r="J88" s="340" t="s">
        <v>527</v>
      </c>
    </row>
    <row r="89" spans="1:10" ht="28.8">
      <c r="A89" s="317" t="s">
        <v>332</v>
      </c>
      <c r="B89" s="318" t="s">
        <v>219</v>
      </c>
      <c r="C89" s="317" t="s">
        <v>528</v>
      </c>
      <c r="D89" s="179" t="s">
        <v>317</v>
      </c>
      <c r="E89" s="178" t="s">
        <v>310</v>
      </c>
      <c r="F89" s="180" t="str">
        <f t="shared" si="4"/>
        <v>Anastasia Beach Deermouse (T&amp;E)_Pinv</v>
      </c>
      <c r="G89" s="319">
        <v>0.2</v>
      </c>
      <c r="H89" s="179" t="s">
        <v>43</v>
      </c>
      <c r="I89" s="318" t="s">
        <v>351</v>
      </c>
      <c r="J89" s="357" t="s">
        <v>352</v>
      </c>
    </row>
    <row r="90" spans="1:10" ht="16.2">
      <c r="A90" s="317" t="s">
        <v>332</v>
      </c>
      <c r="B90" s="318" t="s">
        <v>219</v>
      </c>
      <c r="C90" s="317" t="s">
        <v>528</v>
      </c>
      <c r="D90" s="179" t="s">
        <v>319</v>
      </c>
      <c r="E90" s="178" t="s">
        <v>318</v>
      </c>
      <c r="F90" s="180" t="str">
        <f t="shared" si="4"/>
        <v>Anastasia Beach Deermouse (T&amp;E)_Pso</v>
      </c>
      <c r="G90" s="190">
        <v>0.02</v>
      </c>
      <c r="H90" s="179" t="s">
        <v>320</v>
      </c>
      <c r="I90" s="318" t="s">
        <v>324</v>
      </c>
      <c r="J90" s="340" t="s">
        <v>341</v>
      </c>
    </row>
    <row r="91" spans="1:10" ht="28.8">
      <c r="A91" s="317" t="s">
        <v>332</v>
      </c>
      <c r="B91" s="318" t="s">
        <v>219</v>
      </c>
      <c r="C91" s="317" t="s">
        <v>528</v>
      </c>
      <c r="D91" s="179" t="s">
        <v>316</v>
      </c>
      <c r="E91" s="178" t="s">
        <v>9</v>
      </c>
      <c r="F91" s="180" t="str">
        <f t="shared" si="4"/>
        <v>Anastasia Beach Deermouse (T&amp;E)_Pveg</v>
      </c>
      <c r="G91" s="319">
        <v>0.8</v>
      </c>
      <c r="H91" s="179" t="s">
        <v>43</v>
      </c>
      <c r="I91" s="318" t="s">
        <v>351</v>
      </c>
      <c r="J91" s="357" t="s">
        <v>352</v>
      </c>
    </row>
    <row r="92" spans="1:10">
      <c r="A92" s="317" t="s">
        <v>332</v>
      </c>
      <c r="B92" s="318" t="s">
        <v>327</v>
      </c>
      <c r="C92" s="318" t="s">
        <v>338</v>
      </c>
      <c r="D92" s="319" t="s">
        <v>5</v>
      </c>
      <c r="E92" s="318" t="s">
        <v>6</v>
      </c>
      <c r="F92" s="320" t="str">
        <f t="shared" si="4"/>
        <v>Short-Tailed Shrew_BW</v>
      </c>
      <c r="G92" s="326">
        <v>1.4999999999999999E-2</v>
      </c>
      <c r="H92" s="319" t="s">
        <v>26</v>
      </c>
      <c r="I92" s="180" t="s">
        <v>288</v>
      </c>
      <c r="J92" s="318"/>
    </row>
    <row r="93" spans="1:10">
      <c r="A93" s="317" t="s">
        <v>332</v>
      </c>
      <c r="B93" s="318" t="s">
        <v>327</v>
      </c>
      <c r="C93" s="318" t="s">
        <v>338</v>
      </c>
      <c r="D93" s="322" t="s">
        <v>388</v>
      </c>
      <c r="E93" s="350" t="s">
        <v>389</v>
      </c>
      <c r="F93" s="336" t="str">
        <f t="shared" si="4"/>
        <v>Short-Tailed Shrew_DWI</v>
      </c>
      <c r="G93" s="323">
        <f>0.223*Short_Tailed_Shrew_BW</f>
        <v>3.3449999999999999E-3</v>
      </c>
      <c r="H93" s="322" t="s">
        <v>390</v>
      </c>
      <c r="I93" s="180" t="s">
        <v>288</v>
      </c>
      <c r="J93" s="315"/>
    </row>
    <row r="94" spans="1:10" ht="28.8">
      <c r="A94" s="317" t="s">
        <v>332</v>
      </c>
      <c r="B94" s="318" t="s">
        <v>327</v>
      </c>
      <c r="C94" s="318" t="s">
        <v>338</v>
      </c>
      <c r="D94" s="319" t="s">
        <v>216</v>
      </c>
      <c r="E94" s="318" t="s">
        <v>27</v>
      </c>
      <c r="F94" s="320" t="str">
        <f t="shared" si="4"/>
        <v>Short-Tailed Shrew_FIRdw</v>
      </c>
      <c r="G94" s="355">
        <f>(a_mamm_rodent_dw*(Short_Tailed_Shrew_BW*1000)^b_mamm_rodent_dw)/1000</f>
        <v>2.7004287199919718E-3</v>
      </c>
      <c r="H94" s="319" t="s">
        <v>8</v>
      </c>
      <c r="I94" s="180" t="s">
        <v>287</v>
      </c>
      <c r="J94" s="230" t="s">
        <v>484</v>
      </c>
    </row>
    <row r="95" spans="1:10" ht="28.8">
      <c r="A95" s="317" t="s">
        <v>332</v>
      </c>
      <c r="B95" s="318" t="s">
        <v>327</v>
      </c>
      <c r="C95" s="318" t="s">
        <v>338</v>
      </c>
      <c r="D95" s="319" t="s">
        <v>217</v>
      </c>
      <c r="E95" s="318" t="s">
        <v>39</v>
      </c>
      <c r="F95" s="320" t="str">
        <f t="shared" si="4"/>
        <v>Short-Tailed Shrew_FIRww</v>
      </c>
      <c r="G95" s="355">
        <f>(a_mamm_rodent_ww*(Short_Tailed_Shrew_BW*1000)^b_mamm_rodent_ww)/1000</f>
        <v>6.1026740420215414E-3</v>
      </c>
      <c r="H95" s="319" t="s">
        <v>40</v>
      </c>
      <c r="I95" s="180" t="s">
        <v>287</v>
      </c>
      <c r="J95" s="328" t="s">
        <v>487</v>
      </c>
    </row>
    <row r="96" spans="1:10">
      <c r="A96" s="317" t="s">
        <v>332</v>
      </c>
      <c r="B96" s="318" t="s">
        <v>327</v>
      </c>
      <c r="C96" s="318" t="s">
        <v>338</v>
      </c>
      <c r="D96" s="319" t="s">
        <v>10</v>
      </c>
      <c r="E96" s="318" t="s">
        <v>11</v>
      </c>
      <c r="F96" s="320" t="str">
        <f t="shared" si="4"/>
        <v>Short-Tailed Shrew_HR</v>
      </c>
      <c r="G96" s="190">
        <v>0.96</v>
      </c>
      <c r="H96" s="319" t="s">
        <v>218</v>
      </c>
      <c r="I96" s="318" t="s">
        <v>288</v>
      </c>
      <c r="J96" s="180"/>
    </row>
    <row r="97" spans="1:12" ht="28.8">
      <c r="A97" s="317" t="s">
        <v>332</v>
      </c>
      <c r="B97" s="318" t="s">
        <v>327</v>
      </c>
      <c r="C97" s="318" t="s">
        <v>338</v>
      </c>
      <c r="D97" s="179" t="s">
        <v>317</v>
      </c>
      <c r="E97" s="178" t="s">
        <v>310</v>
      </c>
      <c r="F97" s="180" t="str">
        <f t="shared" si="4"/>
        <v>Short-Tailed Shrew_Pinv</v>
      </c>
      <c r="G97" s="326">
        <v>0.94599999999999995</v>
      </c>
      <c r="H97" s="179" t="s">
        <v>43</v>
      </c>
      <c r="I97" s="180" t="s">
        <v>288</v>
      </c>
      <c r="J97" s="198"/>
    </row>
    <row r="98" spans="1:12" ht="16.2">
      <c r="A98" s="317" t="s">
        <v>332</v>
      </c>
      <c r="B98" s="318" t="s">
        <v>327</v>
      </c>
      <c r="C98" s="318" t="s">
        <v>338</v>
      </c>
      <c r="D98" s="179" t="s">
        <v>319</v>
      </c>
      <c r="E98" s="178" t="s">
        <v>318</v>
      </c>
      <c r="F98" s="180" t="str">
        <f t="shared" si="4"/>
        <v>Short-Tailed Shrew_Pso</v>
      </c>
      <c r="G98" s="190">
        <v>2.4E-2</v>
      </c>
      <c r="H98" s="179" t="s">
        <v>320</v>
      </c>
      <c r="I98" s="318" t="s">
        <v>324</v>
      </c>
      <c r="J98" s="332" t="s">
        <v>339</v>
      </c>
    </row>
    <row r="99" spans="1:12" ht="28.8">
      <c r="A99" s="317" t="s">
        <v>332</v>
      </c>
      <c r="B99" s="318" t="s">
        <v>327</v>
      </c>
      <c r="C99" s="318" t="s">
        <v>338</v>
      </c>
      <c r="D99" s="179" t="s">
        <v>316</v>
      </c>
      <c r="E99" s="178" t="s">
        <v>9</v>
      </c>
      <c r="F99" s="180" t="str">
        <f t="shared" si="4"/>
        <v>Short-Tailed Shrew_Pveg</v>
      </c>
      <c r="G99" s="326">
        <v>5.3999999999999999E-2</v>
      </c>
      <c r="H99" s="179" t="s">
        <v>43</v>
      </c>
      <c r="I99" s="318" t="s">
        <v>288</v>
      </c>
      <c r="J99" s="198"/>
    </row>
    <row r="100" spans="1:12">
      <c r="A100" s="317" t="s">
        <v>332</v>
      </c>
      <c r="B100" s="318" t="s">
        <v>215</v>
      </c>
      <c r="C100" s="318" t="s">
        <v>348</v>
      </c>
      <c r="D100" s="319" t="s">
        <v>5</v>
      </c>
      <c r="E100" s="318" t="s">
        <v>6</v>
      </c>
      <c r="F100" s="320" t="str">
        <f t="shared" ref="F100:F131" si="5">CONCATENATE(C100,"_",D100)</f>
        <v>Western Pocket Gopher (T&amp;E)_BW</v>
      </c>
      <c r="G100" s="321">
        <v>9.6000000000000002E-2</v>
      </c>
      <c r="H100" s="319" t="s">
        <v>26</v>
      </c>
      <c r="I100" s="318" t="s">
        <v>323</v>
      </c>
      <c r="J100" s="228" t="s">
        <v>329</v>
      </c>
    </row>
    <row r="101" spans="1:12">
      <c r="A101" s="317" t="s">
        <v>332</v>
      </c>
      <c r="B101" s="318" t="s">
        <v>215</v>
      </c>
      <c r="C101" s="318" t="s">
        <v>348</v>
      </c>
      <c r="D101" s="322" t="s">
        <v>388</v>
      </c>
      <c r="E101" s="350" t="s">
        <v>389</v>
      </c>
      <c r="F101" s="336" t="str">
        <f t="shared" si="5"/>
        <v>Western Pocket Gopher (T&amp;E)_DWI</v>
      </c>
      <c r="G101" s="327">
        <f>0.21*Western_Pocket_Gopher_BW</f>
        <v>2.0160000000000001E-2</v>
      </c>
      <c r="H101" s="322" t="s">
        <v>390</v>
      </c>
      <c r="I101" s="318" t="s">
        <v>288</v>
      </c>
      <c r="J101" s="318" t="s">
        <v>397</v>
      </c>
    </row>
    <row r="102" spans="1:12" ht="28.8">
      <c r="A102" s="317" t="s">
        <v>332</v>
      </c>
      <c r="B102" s="318" t="s">
        <v>215</v>
      </c>
      <c r="C102" s="318" t="s">
        <v>348</v>
      </c>
      <c r="D102" s="319" t="s">
        <v>216</v>
      </c>
      <c r="E102" s="318" t="s">
        <v>27</v>
      </c>
      <c r="F102" s="320" t="str">
        <f t="shared" si="5"/>
        <v>Western Pocket Gopher (T&amp;E)_FIRdw</v>
      </c>
      <c r="G102" s="330">
        <f>(a_mamm_rodent_dw*(Western_Pocket_Gopher_BW*1000)^b_mamm_rodent_dw)/1000</f>
        <v>1.1360985827646334E-2</v>
      </c>
      <c r="H102" s="319" t="s">
        <v>8</v>
      </c>
      <c r="I102" s="180" t="s">
        <v>287</v>
      </c>
      <c r="J102" s="230" t="s">
        <v>484</v>
      </c>
    </row>
    <row r="103" spans="1:12" ht="28.8">
      <c r="A103" s="317" t="s">
        <v>332</v>
      </c>
      <c r="B103" s="318" t="s">
        <v>215</v>
      </c>
      <c r="C103" s="318" t="s">
        <v>348</v>
      </c>
      <c r="D103" s="319" t="s">
        <v>217</v>
      </c>
      <c r="E103" s="318" t="s">
        <v>39</v>
      </c>
      <c r="F103" s="320" t="str">
        <f t="shared" si="5"/>
        <v>Western Pocket Gopher (T&amp;E)_FIRww</v>
      </c>
      <c r="G103" s="330">
        <f>(a_mamm_rodent_ww*(Western_Pocket_Gopher_BW*1000)^b_mamm_rodent_ww)/1000</f>
        <v>3.0343080650143975E-2</v>
      </c>
      <c r="H103" s="319" t="s">
        <v>40</v>
      </c>
      <c r="I103" s="180" t="s">
        <v>287</v>
      </c>
      <c r="J103" s="328" t="s">
        <v>487</v>
      </c>
    </row>
    <row r="104" spans="1:12">
      <c r="A104" s="317" t="s">
        <v>332</v>
      </c>
      <c r="B104" s="318" t="s">
        <v>215</v>
      </c>
      <c r="C104" s="318" t="s">
        <v>348</v>
      </c>
      <c r="D104" s="319" t="s">
        <v>10</v>
      </c>
      <c r="E104" s="318" t="s">
        <v>11</v>
      </c>
      <c r="F104" s="320" t="str">
        <f t="shared" si="5"/>
        <v>Western Pocket Gopher (T&amp;E)_HR</v>
      </c>
      <c r="G104" s="326">
        <v>6.2E-2</v>
      </c>
      <c r="H104" s="319" t="s">
        <v>218</v>
      </c>
      <c r="I104" s="180" t="s">
        <v>323</v>
      </c>
      <c r="J104" s="318" t="s">
        <v>522</v>
      </c>
    </row>
    <row r="105" spans="1:12" ht="28.8">
      <c r="A105" s="317" t="s">
        <v>332</v>
      </c>
      <c r="B105" s="318" t="s">
        <v>215</v>
      </c>
      <c r="C105" s="318" t="s">
        <v>348</v>
      </c>
      <c r="D105" s="179" t="s">
        <v>317</v>
      </c>
      <c r="E105" s="178" t="s">
        <v>310</v>
      </c>
      <c r="F105" s="180" t="str">
        <f t="shared" si="5"/>
        <v>Western Pocket Gopher (T&amp;E)_Pinv</v>
      </c>
      <c r="G105" s="349">
        <v>0</v>
      </c>
      <c r="H105" s="179" t="s">
        <v>43</v>
      </c>
      <c r="I105" s="180" t="s">
        <v>322</v>
      </c>
      <c r="J105" s="228" t="s">
        <v>329</v>
      </c>
    </row>
    <row r="106" spans="1:12" ht="16.2">
      <c r="A106" s="317" t="s">
        <v>332</v>
      </c>
      <c r="B106" s="318" t="s">
        <v>215</v>
      </c>
      <c r="C106" s="318" t="s">
        <v>348</v>
      </c>
      <c r="D106" s="179" t="s">
        <v>319</v>
      </c>
      <c r="E106" s="178" t="s">
        <v>318</v>
      </c>
      <c r="F106" s="180" t="str">
        <f t="shared" si="5"/>
        <v>Western Pocket Gopher (T&amp;E)_Pso</v>
      </c>
      <c r="G106" s="190">
        <v>2.4E-2</v>
      </c>
      <c r="H106" s="179" t="s">
        <v>320</v>
      </c>
      <c r="I106" s="198" t="s">
        <v>324</v>
      </c>
      <c r="J106" s="329" t="s">
        <v>334</v>
      </c>
    </row>
    <row r="107" spans="1:12" ht="28.8">
      <c r="A107" s="317" t="s">
        <v>332</v>
      </c>
      <c r="B107" s="318" t="s">
        <v>215</v>
      </c>
      <c r="C107" s="318" t="s">
        <v>348</v>
      </c>
      <c r="D107" s="179" t="s">
        <v>316</v>
      </c>
      <c r="E107" s="178" t="s">
        <v>9</v>
      </c>
      <c r="F107" s="180" t="str">
        <f t="shared" si="5"/>
        <v>Western Pocket Gopher (T&amp;E)_Pveg</v>
      </c>
      <c r="G107" s="358">
        <v>1</v>
      </c>
      <c r="H107" s="179" t="s">
        <v>43</v>
      </c>
      <c r="I107" s="318" t="s">
        <v>323</v>
      </c>
      <c r="J107" s="318" t="s">
        <v>333</v>
      </c>
      <c r="L107" s="200"/>
    </row>
    <row r="108" spans="1:12">
      <c r="A108" s="317" t="s">
        <v>214</v>
      </c>
      <c r="B108" s="318" t="s">
        <v>215</v>
      </c>
      <c r="C108" s="318" t="s">
        <v>315</v>
      </c>
      <c r="D108" s="319" t="s">
        <v>5</v>
      </c>
      <c r="E108" s="318" t="s">
        <v>6</v>
      </c>
      <c r="F108" s="320" t="str">
        <f t="shared" si="5"/>
        <v>Willow Ptarmigan_BW</v>
      </c>
      <c r="G108" s="326">
        <v>0.60099999999999998</v>
      </c>
      <c r="H108" s="319" t="s">
        <v>26</v>
      </c>
      <c r="I108" s="318" t="s">
        <v>323</v>
      </c>
      <c r="J108" s="228" t="s">
        <v>329</v>
      </c>
    </row>
    <row r="109" spans="1:12">
      <c r="A109" s="317" t="s">
        <v>214</v>
      </c>
      <c r="B109" s="318" t="s">
        <v>215</v>
      </c>
      <c r="C109" s="318" t="s">
        <v>315</v>
      </c>
      <c r="D109" s="322" t="s">
        <v>388</v>
      </c>
      <c r="E109" s="350" t="s">
        <v>389</v>
      </c>
      <c r="F109" s="336" t="str">
        <f t="shared" si="5"/>
        <v>Willow Ptarmigan_DWI</v>
      </c>
      <c r="G109" s="326">
        <f>0.13*Willow_Ptarmigan_BW</f>
        <v>7.8130000000000005E-2</v>
      </c>
      <c r="H109" s="322" t="s">
        <v>390</v>
      </c>
      <c r="I109" s="318" t="s">
        <v>288</v>
      </c>
      <c r="J109" s="318" t="s">
        <v>391</v>
      </c>
    </row>
    <row r="110" spans="1:12" ht="28.8">
      <c r="A110" s="317" t="s">
        <v>214</v>
      </c>
      <c r="B110" s="318" t="s">
        <v>215</v>
      </c>
      <c r="C110" s="318" t="s">
        <v>315</v>
      </c>
      <c r="D110" s="319" t="s">
        <v>216</v>
      </c>
      <c r="E110" s="318" t="s">
        <v>27</v>
      </c>
      <c r="F110" s="320" t="str">
        <f t="shared" si="5"/>
        <v>Willow Ptarmigan_FIRdw</v>
      </c>
      <c r="G110" s="321">
        <f>(a_avian_galliformes_dw*(Willow_Ptarmigan_BW*1000)^b_avian_galliformes_dw)/1000</f>
        <v>2.6330543684797304E-2</v>
      </c>
      <c r="H110" s="319" t="s">
        <v>8</v>
      </c>
      <c r="I110" s="198" t="s">
        <v>287</v>
      </c>
      <c r="J110" s="229" t="s">
        <v>485</v>
      </c>
    </row>
    <row r="111" spans="1:12" ht="28.8">
      <c r="A111" s="317" t="s">
        <v>214</v>
      </c>
      <c r="B111" s="318" t="s">
        <v>215</v>
      </c>
      <c r="C111" s="318" t="s">
        <v>315</v>
      </c>
      <c r="D111" s="319" t="s">
        <v>217</v>
      </c>
      <c r="E111" s="318" t="s">
        <v>39</v>
      </c>
      <c r="F111" s="320" t="str">
        <f t="shared" si="5"/>
        <v>Willow Ptarmigan_FIRww</v>
      </c>
      <c r="G111" s="321">
        <f>(a_avian_omnivore_ww*(Willow_Ptarmigan_BW*1000)^b_avian_omnivore_ww)/1000</f>
        <v>0.1156993639065534</v>
      </c>
      <c r="H111" s="319" t="s">
        <v>40</v>
      </c>
      <c r="I111" s="198" t="s">
        <v>287</v>
      </c>
      <c r="J111" s="318" t="s">
        <v>486</v>
      </c>
    </row>
    <row r="112" spans="1:12">
      <c r="A112" s="317" t="s">
        <v>214</v>
      </c>
      <c r="B112" s="318" t="s">
        <v>215</v>
      </c>
      <c r="C112" s="318" t="s">
        <v>315</v>
      </c>
      <c r="D112" s="319" t="s">
        <v>10</v>
      </c>
      <c r="E112" s="318" t="s">
        <v>11</v>
      </c>
      <c r="F112" s="320" t="str">
        <f t="shared" si="5"/>
        <v>Willow Ptarmigan_HR</v>
      </c>
      <c r="G112" s="352">
        <f>G80</f>
        <v>9</v>
      </c>
      <c r="H112" s="319" t="s">
        <v>218</v>
      </c>
      <c r="I112" s="180" t="s">
        <v>288</v>
      </c>
      <c r="J112" s="318" t="s">
        <v>326</v>
      </c>
    </row>
    <row r="113" spans="1:18" ht="28.8">
      <c r="A113" s="317" t="s">
        <v>214</v>
      </c>
      <c r="B113" s="178" t="s">
        <v>215</v>
      </c>
      <c r="C113" s="318" t="s">
        <v>315</v>
      </c>
      <c r="D113" s="179" t="s">
        <v>317</v>
      </c>
      <c r="E113" s="178" t="s">
        <v>310</v>
      </c>
      <c r="F113" s="180" t="str">
        <f t="shared" si="5"/>
        <v>Willow Ptarmigan_Pinv</v>
      </c>
      <c r="G113" s="179">
        <v>7.0000000000000007E-2</v>
      </c>
      <c r="H113" s="179" t="s">
        <v>43</v>
      </c>
      <c r="I113" s="318" t="s">
        <v>322</v>
      </c>
      <c r="J113" s="331" t="s">
        <v>321</v>
      </c>
    </row>
    <row r="114" spans="1:18" ht="28.8">
      <c r="A114" s="317" t="s">
        <v>214</v>
      </c>
      <c r="B114" s="178" t="s">
        <v>215</v>
      </c>
      <c r="C114" s="318" t="s">
        <v>315</v>
      </c>
      <c r="D114" s="179" t="s">
        <v>319</v>
      </c>
      <c r="E114" s="178" t="s">
        <v>318</v>
      </c>
      <c r="F114" s="180" t="str">
        <f t="shared" si="5"/>
        <v>Willow Ptarmigan_Pso</v>
      </c>
      <c r="G114" s="190">
        <v>0.01</v>
      </c>
      <c r="H114" s="179" t="s">
        <v>320</v>
      </c>
      <c r="I114" s="180" t="s">
        <v>288</v>
      </c>
      <c r="J114" s="348" t="s">
        <v>510</v>
      </c>
    </row>
    <row r="115" spans="1:18" ht="28.8">
      <c r="A115" s="317" t="s">
        <v>214</v>
      </c>
      <c r="B115" s="178" t="s">
        <v>215</v>
      </c>
      <c r="C115" s="318" t="s">
        <v>315</v>
      </c>
      <c r="D115" s="179" t="s">
        <v>316</v>
      </c>
      <c r="E115" s="178" t="s">
        <v>9</v>
      </c>
      <c r="F115" s="180" t="str">
        <f t="shared" si="5"/>
        <v>Willow Ptarmigan_Pveg</v>
      </c>
      <c r="G115" s="179">
        <v>0.93</v>
      </c>
      <c r="H115" s="179" t="s">
        <v>43</v>
      </c>
      <c r="I115" s="318" t="s">
        <v>322</v>
      </c>
      <c r="J115" s="331" t="s">
        <v>321</v>
      </c>
    </row>
    <row r="116" spans="1:18">
      <c r="A116" s="317" t="s">
        <v>214</v>
      </c>
      <c r="B116" s="318" t="s">
        <v>327</v>
      </c>
      <c r="C116" s="318" t="s">
        <v>506</v>
      </c>
      <c r="D116" s="319" t="s">
        <v>5</v>
      </c>
      <c r="E116" s="318" t="s">
        <v>6</v>
      </c>
      <c r="F116" s="320" t="str">
        <f t="shared" si="5"/>
        <v>American Woodcock_BW</v>
      </c>
      <c r="G116" s="321">
        <v>0.17599999999999999</v>
      </c>
      <c r="H116" s="319" t="s">
        <v>26</v>
      </c>
      <c r="I116" s="180" t="s">
        <v>288</v>
      </c>
      <c r="J116" s="318" t="s">
        <v>496</v>
      </c>
    </row>
    <row r="117" spans="1:18">
      <c r="A117" s="317" t="s">
        <v>214</v>
      </c>
      <c r="B117" s="318" t="s">
        <v>327</v>
      </c>
      <c r="C117" s="318" t="s">
        <v>506</v>
      </c>
      <c r="D117" s="322" t="s">
        <v>388</v>
      </c>
      <c r="E117" s="350" t="s">
        <v>389</v>
      </c>
      <c r="F117" s="336" t="str">
        <f t="shared" si="5"/>
        <v>American Woodcock_DWI</v>
      </c>
      <c r="G117" s="323">
        <f>0.1*American_Woodcock_BW</f>
        <v>1.7600000000000001E-2</v>
      </c>
      <c r="H117" s="322" t="s">
        <v>390</v>
      </c>
      <c r="I117" s="180" t="s">
        <v>288</v>
      </c>
      <c r="J117" s="318"/>
    </row>
    <row r="118" spans="1:18" ht="28.8">
      <c r="A118" s="317" t="s">
        <v>214</v>
      </c>
      <c r="B118" s="318" t="s">
        <v>327</v>
      </c>
      <c r="C118" s="318" t="s">
        <v>506</v>
      </c>
      <c r="D118" s="319" t="s">
        <v>216</v>
      </c>
      <c r="E118" s="318" t="s">
        <v>27</v>
      </c>
      <c r="F118" s="320" t="str">
        <f t="shared" si="5"/>
        <v>American Woodcock_FIRdw</v>
      </c>
      <c r="G118" s="330">
        <f>(a_avian_insectivore_DW*(American_Woodcock_BW*1000)^b_avian_insectivore_dw)/1000</f>
        <v>2.0676650678671162E-2</v>
      </c>
      <c r="H118" s="319" t="s">
        <v>8</v>
      </c>
      <c r="I118" s="318" t="s">
        <v>287</v>
      </c>
      <c r="J118" s="318" t="s">
        <v>480</v>
      </c>
    </row>
    <row r="119" spans="1:18" ht="16.05" customHeight="1">
      <c r="A119" s="317" t="s">
        <v>214</v>
      </c>
      <c r="B119" s="318" t="s">
        <v>327</v>
      </c>
      <c r="C119" s="318" t="s">
        <v>506</v>
      </c>
      <c r="D119" s="319" t="s">
        <v>217</v>
      </c>
      <c r="E119" s="318" t="s">
        <v>39</v>
      </c>
      <c r="F119" s="320" t="str">
        <f t="shared" si="5"/>
        <v>American Woodcock_FIRww</v>
      </c>
      <c r="G119" s="330">
        <f>(a_avian_insectivore_ww*(American_Woodcock_BW*1000)^b_avian_insectivore_ww)/1000</f>
        <v>6.2527723256055573E-2</v>
      </c>
      <c r="H119" s="319" t="s">
        <v>40</v>
      </c>
      <c r="I119" s="198" t="s">
        <v>287</v>
      </c>
      <c r="J119" s="180" t="s">
        <v>481</v>
      </c>
    </row>
    <row r="120" spans="1:18">
      <c r="A120" s="317" t="s">
        <v>214</v>
      </c>
      <c r="B120" s="318" t="s">
        <v>327</v>
      </c>
      <c r="C120" s="318" t="s">
        <v>506</v>
      </c>
      <c r="D120" s="319" t="s">
        <v>10</v>
      </c>
      <c r="E120" s="318" t="s">
        <v>11</v>
      </c>
      <c r="F120" s="320" t="str">
        <f t="shared" si="5"/>
        <v>American Woodcock_HR</v>
      </c>
      <c r="G120" s="319">
        <v>7.66</v>
      </c>
      <c r="H120" s="319" t="s">
        <v>218</v>
      </c>
      <c r="I120" s="318" t="s">
        <v>288</v>
      </c>
      <c r="J120" s="329" t="s">
        <v>508</v>
      </c>
    </row>
    <row r="121" spans="1:18" ht="28.8">
      <c r="A121" s="317" t="s">
        <v>214</v>
      </c>
      <c r="B121" s="318" t="s">
        <v>327</v>
      </c>
      <c r="C121" s="318" t="s">
        <v>506</v>
      </c>
      <c r="D121" s="179" t="s">
        <v>317</v>
      </c>
      <c r="E121" s="178" t="s">
        <v>310</v>
      </c>
      <c r="F121" s="180" t="str">
        <f t="shared" si="5"/>
        <v>American Woodcock_Pinv</v>
      </c>
      <c r="G121" s="190">
        <v>0.9</v>
      </c>
      <c r="H121" s="179" t="s">
        <v>43</v>
      </c>
      <c r="I121" s="231" t="s">
        <v>516</v>
      </c>
      <c r="J121" s="329" t="s">
        <v>515</v>
      </c>
      <c r="K121" s="498"/>
      <c r="L121" s="498"/>
    </row>
    <row r="122" spans="1:18" ht="16.2">
      <c r="A122" s="317" t="s">
        <v>214</v>
      </c>
      <c r="B122" s="318" t="s">
        <v>327</v>
      </c>
      <c r="C122" s="318" t="s">
        <v>506</v>
      </c>
      <c r="D122" s="179" t="s">
        <v>319</v>
      </c>
      <c r="E122" s="178" t="s">
        <v>318</v>
      </c>
      <c r="F122" s="180" t="str">
        <f t="shared" si="5"/>
        <v>American Woodcock_Pso</v>
      </c>
      <c r="G122" s="190">
        <v>0.104</v>
      </c>
      <c r="H122" s="179" t="s">
        <v>320</v>
      </c>
      <c r="I122" s="318" t="s">
        <v>517</v>
      </c>
      <c r="J122" s="329"/>
    </row>
    <row r="123" spans="1:18" ht="28.8">
      <c r="A123" s="317" t="s">
        <v>214</v>
      </c>
      <c r="B123" s="318" t="s">
        <v>327</v>
      </c>
      <c r="C123" s="318" t="s">
        <v>506</v>
      </c>
      <c r="D123" s="179" t="s">
        <v>316</v>
      </c>
      <c r="E123" s="178" t="s">
        <v>9</v>
      </c>
      <c r="F123" s="180" t="str">
        <f t="shared" si="5"/>
        <v>American Woodcock_Pveg</v>
      </c>
      <c r="G123" s="327">
        <v>0.1</v>
      </c>
      <c r="H123" s="179" t="s">
        <v>43</v>
      </c>
      <c r="I123" s="231" t="s">
        <v>516</v>
      </c>
      <c r="J123" s="329" t="s">
        <v>515</v>
      </c>
    </row>
    <row r="124" spans="1:18">
      <c r="A124"/>
      <c r="B124"/>
      <c r="C124"/>
      <c r="D124"/>
      <c r="E124" s="169"/>
      <c r="F124" s="337" t="str">
        <f t="shared" si="5"/>
        <v>_</v>
      </c>
      <c r="G124" s="300"/>
      <c r="H124" s="300"/>
      <c r="I124" s="300"/>
      <c r="J124" s="351"/>
      <c r="K124" s="187"/>
      <c r="L124" s="187"/>
      <c r="M124" s="187"/>
      <c r="N124" s="187"/>
      <c r="O124" s="187"/>
      <c r="P124" s="187"/>
      <c r="Q124" s="187"/>
      <c r="R124" s="187"/>
    </row>
    <row r="125" spans="1:18">
      <c r="A125"/>
      <c r="B125"/>
      <c r="C125"/>
      <c r="D125"/>
      <c r="E125" s="169"/>
      <c r="F125" s="337" t="str">
        <f t="shared" si="5"/>
        <v>_</v>
      </c>
      <c r="G125" s="300"/>
      <c r="H125" s="300"/>
      <c r="I125" s="300"/>
      <c r="J125" s="351"/>
      <c r="K125" s="187"/>
      <c r="L125" s="187"/>
      <c r="M125" s="187"/>
      <c r="N125" s="187"/>
      <c r="O125" s="187"/>
      <c r="P125" s="187"/>
      <c r="Q125" s="187"/>
      <c r="R125" s="187"/>
    </row>
    <row r="126" spans="1:18">
      <c r="A126"/>
      <c r="B126"/>
      <c r="C126"/>
      <c r="D126"/>
      <c r="E126" s="169"/>
      <c r="F126" s="337" t="str">
        <f t="shared" si="5"/>
        <v>_</v>
      </c>
      <c r="G126" s="300"/>
      <c r="H126" s="300"/>
      <c r="I126" s="300"/>
      <c r="J126" s="351"/>
      <c r="K126" s="187"/>
      <c r="L126" s="187"/>
      <c r="M126" s="187"/>
      <c r="N126" s="187"/>
      <c r="O126" s="187"/>
      <c r="P126" s="187"/>
      <c r="Q126" s="187"/>
      <c r="R126" s="187"/>
    </row>
    <row r="127" spans="1:18">
      <c r="A127"/>
      <c r="B127"/>
      <c r="C127"/>
      <c r="D127"/>
      <c r="E127" s="169"/>
      <c r="F127" s="337" t="str">
        <f t="shared" si="5"/>
        <v>_</v>
      </c>
      <c r="G127" s="300"/>
      <c r="H127" s="300"/>
      <c r="I127" s="300"/>
      <c r="J127" s="351"/>
      <c r="K127" s="187"/>
      <c r="L127" s="187"/>
      <c r="M127" s="187"/>
      <c r="N127" s="187"/>
      <c r="O127" s="187"/>
      <c r="P127" s="187"/>
      <c r="Q127" s="187"/>
      <c r="R127" s="187"/>
    </row>
    <row r="128" spans="1:18">
      <c r="A128"/>
      <c r="B128"/>
      <c r="C128"/>
      <c r="D128"/>
      <c r="E128" s="169"/>
      <c r="F128" s="337" t="str">
        <f t="shared" si="5"/>
        <v>_</v>
      </c>
      <c r="G128" s="300"/>
      <c r="H128" s="300"/>
      <c r="I128" s="300"/>
      <c r="J128" s="351"/>
      <c r="K128" s="187"/>
      <c r="L128" s="187"/>
      <c r="M128" s="187"/>
      <c r="N128" s="187"/>
      <c r="O128" s="187"/>
      <c r="P128" s="187"/>
      <c r="Q128" s="187"/>
      <c r="R128" s="187"/>
    </row>
    <row r="129" spans="1:18">
      <c r="A129"/>
      <c r="B129"/>
      <c r="C129"/>
      <c r="D129"/>
      <c r="E129" s="169"/>
      <c r="F129" s="337" t="str">
        <f t="shared" si="5"/>
        <v>_</v>
      </c>
      <c r="G129" s="300"/>
      <c r="H129" s="300"/>
      <c r="I129" s="300"/>
      <c r="J129" s="351"/>
      <c r="K129" s="187"/>
      <c r="L129" s="187"/>
      <c r="M129" s="187"/>
      <c r="N129" s="187"/>
      <c r="O129" s="187"/>
      <c r="P129" s="187"/>
      <c r="Q129" s="187"/>
      <c r="R129" s="187"/>
    </row>
    <row r="130" spans="1:18">
      <c r="A130"/>
      <c r="B130"/>
      <c r="C130"/>
      <c r="D130"/>
      <c r="E130" s="169"/>
      <c r="F130" s="337" t="str">
        <f t="shared" si="5"/>
        <v>_</v>
      </c>
      <c r="G130" s="300"/>
      <c r="H130" s="300"/>
      <c r="I130" s="300"/>
      <c r="J130" s="351"/>
      <c r="K130" s="187"/>
      <c r="L130" s="187"/>
      <c r="M130" s="187"/>
      <c r="N130" s="187"/>
      <c r="O130" s="187"/>
      <c r="P130" s="187"/>
      <c r="Q130" s="187"/>
      <c r="R130" s="187"/>
    </row>
    <row r="131" spans="1:18">
      <c r="A131"/>
      <c r="B131"/>
      <c r="C131"/>
      <c r="D131"/>
      <c r="E131" s="169"/>
      <c r="F131" s="337" t="str">
        <f t="shared" si="5"/>
        <v>_</v>
      </c>
      <c r="G131" s="300"/>
      <c r="H131" s="300"/>
      <c r="I131" s="300"/>
      <c r="J131" s="351"/>
      <c r="K131" s="187"/>
      <c r="L131" s="187"/>
      <c r="M131" s="187"/>
      <c r="N131" s="187"/>
      <c r="O131" s="187"/>
      <c r="P131" s="187"/>
      <c r="Q131" s="187"/>
      <c r="R131" s="187"/>
    </row>
    <row r="132" spans="1:18">
      <c r="A132"/>
      <c r="B132"/>
      <c r="C132"/>
      <c r="D132"/>
      <c r="E132" s="169"/>
      <c r="F132" s="337" t="str">
        <f t="shared" ref="F132:F163" si="6">CONCATENATE(C132,"_",D132)</f>
        <v>_</v>
      </c>
      <c r="G132" s="300"/>
      <c r="H132" s="300"/>
      <c r="I132" s="300"/>
      <c r="J132" s="351"/>
      <c r="K132" s="187"/>
      <c r="L132" s="187"/>
      <c r="M132" s="187"/>
      <c r="N132" s="187"/>
      <c r="O132" s="187"/>
      <c r="P132" s="187"/>
      <c r="Q132" s="187"/>
      <c r="R132" s="187"/>
    </row>
    <row r="133" spans="1:18">
      <c r="A133"/>
      <c r="B133"/>
      <c r="C133"/>
      <c r="D133"/>
      <c r="E133" s="169"/>
      <c r="F133" s="337" t="str">
        <f t="shared" si="6"/>
        <v>_</v>
      </c>
      <c r="G133" s="300"/>
      <c r="H133" s="300"/>
      <c r="I133" s="300"/>
      <c r="J133" s="351"/>
    </row>
    <row r="134" spans="1:18">
      <c r="A134"/>
      <c r="B134"/>
      <c r="C134"/>
      <c r="D134"/>
      <c r="E134" s="169"/>
      <c r="F134" s="337" t="str">
        <f t="shared" si="6"/>
        <v>_</v>
      </c>
      <c r="G134" s="300"/>
      <c r="H134" s="300"/>
      <c r="I134" s="300"/>
      <c r="J134" s="351"/>
    </row>
    <row r="135" spans="1:18">
      <c r="A135"/>
      <c r="B135"/>
      <c r="C135"/>
      <c r="D135"/>
      <c r="E135" s="169"/>
      <c r="F135" s="337" t="str">
        <f t="shared" si="6"/>
        <v>_</v>
      </c>
      <c r="G135" s="300"/>
      <c r="H135" s="300"/>
      <c r="I135" s="300"/>
      <c r="J135" s="351"/>
      <c r="K135" s="153"/>
      <c r="L135" s="153"/>
      <c r="M135" s="153"/>
      <c r="N135" s="153"/>
      <c r="O135" s="153"/>
      <c r="P135" s="153"/>
      <c r="Q135" s="154"/>
    </row>
    <row r="136" spans="1:18">
      <c r="A136"/>
      <c r="B136"/>
      <c r="C136"/>
      <c r="D136"/>
      <c r="E136" s="169"/>
      <c r="F136" s="337" t="str">
        <f t="shared" si="6"/>
        <v>_</v>
      </c>
      <c r="G136" s="300"/>
      <c r="H136" s="300"/>
      <c r="I136" s="300"/>
      <c r="J136" s="351"/>
    </row>
    <row r="137" spans="1:18">
      <c r="A137"/>
      <c r="B137"/>
      <c r="C137"/>
      <c r="D137"/>
      <c r="E137" s="169"/>
      <c r="F137" s="337" t="str">
        <f t="shared" si="6"/>
        <v>_</v>
      </c>
      <c r="G137" s="300"/>
      <c r="H137" s="300"/>
      <c r="I137" s="300"/>
      <c r="J137" s="351"/>
    </row>
    <row r="138" spans="1:18">
      <c r="A138"/>
      <c r="B138"/>
      <c r="C138"/>
      <c r="D138"/>
      <c r="E138" s="169"/>
      <c r="F138" s="337" t="str">
        <f t="shared" si="6"/>
        <v>_</v>
      </c>
      <c r="G138" s="300"/>
      <c r="H138" s="300"/>
      <c r="I138" s="300"/>
      <c r="J138" s="351"/>
    </row>
    <row r="139" spans="1:18">
      <c r="A139"/>
      <c r="B139"/>
      <c r="C139"/>
      <c r="D139"/>
      <c r="E139" s="169"/>
      <c r="F139" s="337" t="str">
        <f t="shared" si="6"/>
        <v>_</v>
      </c>
      <c r="G139" s="300"/>
      <c r="H139" s="300"/>
      <c r="I139" s="300"/>
      <c r="J139" s="351"/>
    </row>
    <row r="140" spans="1:18">
      <c r="A140"/>
      <c r="B140"/>
      <c r="C140"/>
      <c r="D140"/>
      <c r="E140" s="169"/>
      <c r="F140" s="337" t="str">
        <f t="shared" si="6"/>
        <v>_</v>
      </c>
      <c r="G140" s="300"/>
      <c r="H140" s="300"/>
      <c r="I140" s="300"/>
      <c r="J140" s="351"/>
    </row>
    <row r="141" spans="1:18">
      <c r="A141"/>
      <c r="B141"/>
      <c r="C141"/>
      <c r="D141"/>
      <c r="E141" s="169"/>
      <c r="F141" s="337" t="str">
        <f t="shared" si="6"/>
        <v>_</v>
      </c>
      <c r="G141" s="300"/>
      <c r="H141" s="300"/>
      <c r="I141" s="300"/>
      <c r="J141" s="351"/>
    </row>
    <row r="142" spans="1:18">
      <c r="A142"/>
      <c r="B142"/>
      <c r="C142"/>
      <c r="D142"/>
      <c r="E142" s="169"/>
      <c r="F142" s="337" t="str">
        <f t="shared" si="6"/>
        <v>_</v>
      </c>
      <c r="G142" s="300"/>
      <c r="H142" s="300"/>
      <c r="I142" s="300"/>
      <c r="J142" s="351"/>
    </row>
    <row r="143" spans="1:18">
      <c r="A143"/>
      <c r="B143"/>
      <c r="C143"/>
      <c r="D143"/>
      <c r="E143" s="169"/>
      <c r="F143" s="337" t="str">
        <f t="shared" si="6"/>
        <v>_</v>
      </c>
      <c r="G143" s="300"/>
      <c r="H143" s="300"/>
      <c r="I143" s="300"/>
      <c r="J143" s="351"/>
    </row>
    <row r="144" spans="1:18">
      <c r="A144"/>
      <c r="B144"/>
      <c r="C144"/>
      <c r="D144"/>
      <c r="E144" s="169"/>
      <c r="F144" s="337" t="str">
        <f t="shared" si="6"/>
        <v>_</v>
      </c>
      <c r="G144" s="300"/>
      <c r="H144" s="300"/>
      <c r="I144" s="300"/>
      <c r="J144" s="351"/>
    </row>
    <row r="145" spans="1:18">
      <c r="A145"/>
      <c r="B145"/>
      <c r="C145"/>
      <c r="D145"/>
      <c r="E145" s="169"/>
      <c r="F145" s="337" t="str">
        <f t="shared" si="6"/>
        <v>_</v>
      </c>
      <c r="G145" s="300"/>
      <c r="H145" s="300"/>
      <c r="I145" s="300"/>
      <c r="J145" s="351"/>
    </row>
    <row r="146" spans="1:18">
      <c r="A146"/>
      <c r="B146"/>
      <c r="C146"/>
      <c r="D146"/>
      <c r="E146" s="169"/>
      <c r="F146" s="337" t="str">
        <f t="shared" si="6"/>
        <v>_</v>
      </c>
      <c r="G146" s="300"/>
      <c r="H146" s="300"/>
      <c r="I146" s="300"/>
      <c r="J146" s="351"/>
      <c r="K146" s="187"/>
      <c r="L146" s="187"/>
      <c r="M146" s="187"/>
      <c r="N146" s="187"/>
      <c r="O146" s="187"/>
      <c r="P146" s="187"/>
      <c r="Q146" s="187"/>
      <c r="R146" s="187"/>
    </row>
    <row r="147" spans="1:18">
      <c r="A147"/>
      <c r="B147"/>
      <c r="C147"/>
      <c r="D147"/>
      <c r="E147" s="169"/>
      <c r="F147" s="337" t="str">
        <f t="shared" si="6"/>
        <v>_</v>
      </c>
      <c r="G147" s="300"/>
      <c r="H147" s="300"/>
      <c r="I147" s="300"/>
      <c r="J147" s="351"/>
      <c r="K147" s="187"/>
      <c r="L147" s="187"/>
      <c r="M147" s="187"/>
      <c r="N147" s="187"/>
      <c r="O147" s="187"/>
      <c r="P147" s="187"/>
      <c r="Q147" s="187"/>
      <c r="R147" s="187"/>
    </row>
    <row r="148" spans="1:18">
      <c r="A148"/>
      <c r="B148"/>
      <c r="C148"/>
      <c r="D148"/>
      <c r="E148" s="169"/>
      <c r="F148" s="337" t="str">
        <f t="shared" si="6"/>
        <v>_</v>
      </c>
      <c r="G148" s="300"/>
      <c r="H148" s="300"/>
      <c r="I148" s="300"/>
      <c r="J148" s="351"/>
      <c r="K148" s="187"/>
      <c r="L148" s="187"/>
      <c r="M148" s="187"/>
      <c r="N148" s="187"/>
      <c r="O148" s="187"/>
      <c r="P148" s="187"/>
      <c r="Q148" s="187"/>
      <c r="R148" s="187"/>
    </row>
    <row r="149" spans="1:18">
      <c r="A149"/>
      <c r="B149"/>
      <c r="C149"/>
      <c r="D149"/>
      <c r="E149" s="169"/>
      <c r="F149" s="337" t="str">
        <f t="shared" si="6"/>
        <v>_</v>
      </c>
      <c r="G149" s="300"/>
      <c r="H149" s="300"/>
      <c r="I149" s="300"/>
      <c r="J149" s="351"/>
      <c r="K149" s="187"/>
      <c r="L149" s="187"/>
      <c r="M149" s="187"/>
      <c r="N149" s="187"/>
      <c r="O149" s="187"/>
      <c r="P149" s="187"/>
      <c r="Q149" s="187"/>
      <c r="R149" s="187"/>
    </row>
    <row r="150" spans="1:18">
      <c r="A150"/>
      <c r="B150"/>
      <c r="C150"/>
      <c r="D150"/>
      <c r="E150" s="169"/>
      <c r="F150" s="337" t="str">
        <f t="shared" si="6"/>
        <v>_</v>
      </c>
      <c r="G150" s="300"/>
      <c r="H150" s="300"/>
      <c r="I150" s="300"/>
      <c r="J150" s="351"/>
      <c r="K150" s="187"/>
      <c r="L150" s="187"/>
      <c r="M150" s="187"/>
      <c r="N150" s="187"/>
      <c r="O150" s="187"/>
      <c r="P150" s="187"/>
      <c r="Q150" s="187"/>
      <c r="R150" s="187"/>
    </row>
    <row r="151" spans="1:18">
      <c r="A151"/>
      <c r="B151"/>
      <c r="C151"/>
      <c r="D151"/>
      <c r="E151" s="169"/>
      <c r="F151" s="337" t="str">
        <f t="shared" si="6"/>
        <v>_</v>
      </c>
      <c r="G151" s="300"/>
      <c r="H151" s="300"/>
      <c r="I151" s="300"/>
      <c r="J151" s="351"/>
      <c r="K151" s="187"/>
      <c r="L151" s="187"/>
      <c r="M151" s="187"/>
      <c r="N151" s="187"/>
      <c r="O151" s="187"/>
      <c r="P151" s="187"/>
      <c r="Q151" s="187"/>
      <c r="R151" s="187"/>
    </row>
    <row r="152" spans="1:18">
      <c r="A152"/>
      <c r="B152"/>
      <c r="C152"/>
      <c r="D152"/>
      <c r="E152" s="169"/>
      <c r="F152" s="337" t="str">
        <f t="shared" si="6"/>
        <v>_</v>
      </c>
      <c r="G152" s="300"/>
      <c r="H152" s="300"/>
      <c r="I152" s="300"/>
      <c r="J152" s="351"/>
      <c r="K152" s="187"/>
      <c r="L152" s="187"/>
      <c r="M152" s="187"/>
      <c r="N152" s="187"/>
      <c r="O152" s="187"/>
      <c r="P152" s="187"/>
      <c r="Q152" s="187"/>
      <c r="R152" s="187"/>
    </row>
    <row r="153" spans="1:18">
      <c r="A153"/>
      <c r="B153"/>
      <c r="C153"/>
      <c r="D153"/>
      <c r="E153" s="169"/>
      <c r="F153" s="337" t="str">
        <f t="shared" si="6"/>
        <v>_</v>
      </c>
      <c r="G153" s="300"/>
      <c r="H153" s="300"/>
      <c r="I153" s="300"/>
      <c r="J153" s="351"/>
    </row>
    <row r="154" spans="1:18">
      <c r="A154"/>
      <c r="B154"/>
      <c r="C154"/>
      <c r="D154"/>
      <c r="E154" s="169"/>
      <c r="F154" s="337" t="str">
        <f t="shared" si="6"/>
        <v>_</v>
      </c>
      <c r="G154" s="300"/>
      <c r="H154" s="300"/>
      <c r="I154" s="300"/>
      <c r="J154" s="351"/>
    </row>
    <row r="155" spans="1:18">
      <c r="A155"/>
      <c r="B155"/>
      <c r="C155"/>
      <c r="D155"/>
      <c r="E155" s="169"/>
      <c r="F155" s="337" t="str">
        <f t="shared" si="6"/>
        <v>_</v>
      </c>
      <c r="G155" s="300"/>
      <c r="H155" s="300"/>
      <c r="I155" s="300"/>
      <c r="J155" s="351"/>
    </row>
    <row r="156" spans="1:18">
      <c r="A156"/>
      <c r="B156"/>
      <c r="C156"/>
      <c r="D156"/>
      <c r="E156" s="169"/>
      <c r="F156" s="337" t="str">
        <f t="shared" si="6"/>
        <v>_</v>
      </c>
      <c r="G156" s="300"/>
      <c r="H156" s="300"/>
      <c r="I156" s="300"/>
      <c r="J156" s="351"/>
    </row>
    <row r="157" spans="1:18">
      <c r="A157"/>
      <c r="B157"/>
      <c r="C157"/>
      <c r="D157"/>
      <c r="E157" s="169"/>
      <c r="F157" s="337" t="str">
        <f t="shared" si="6"/>
        <v>_</v>
      </c>
      <c r="G157" s="300"/>
      <c r="H157" s="300"/>
      <c r="I157" s="300"/>
      <c r="J157" s="351"/>
    </row>
    <row r="158" spans="1:18">
      <c r="A158"/>
      <c r="B158"/>
      <c r="C158"/>
      <c r="D158"/>
      <c r="E158" s="169"/>
      <c r="F158" s="337" t="str">
        <f t="shared" si="6"/>
        <v>_</v>
      </c>
      <c r="G158" s="301"/>
      <c r="H158" s="300"/>
      <c r="I158" s="300"/>
      <c r="J158" s="351"/>
    </row>
    <row r="159" spans="1:18">
      <c r="A159"/>
      <c r="B159"/>
      <c r="C159"/>
      <c r="D159"/>
      <c r="E159" s="169"/>
      <c r="F159" s="337" t="str">
        <f t="shared" si="6"/>
        <v>_</v>
      </c>
      <c r="G159" s="300"/>
      <c r="H159" s="300"/>
      <c r="I159" s="300"/>
      <c r="J159" s="351"/>
      <c r="K159" s="153"/>
      <c r="L159" s="153"/>
      <c r="M159" s="153"/>
      <c r="N159" s="153"/>
      <c r="O159" s="153"/>
      <c r="P159" s="153"/>
      <c r="Q159" s="154"/>
      <c r="R159" s="154"/>
    </row>
    <row r="160" spans="1:18">
      <c r="A160"/>
      <c r="B160"/>
      <c r="C160"/>
      <c r="D160"/>
      <c r="E160" s="169"/>
      <c r="F160" s="337" t="str">
        <f t="shared" si="6"/>
        <v>_</v>
      </c>
      <c r="G160" s="300"/>
      <c r="H160" s="300"/>
      <c r="I160" s="300"/>
      <c r="J160" s="351"/>
      <c r="K160" s="154"/>
      <c r="L160" s="154"/>
      <c r="M160" s="154"/>
      <c r="N160" s="154"/>
      <c r="O160" s="154"/>
      <c r="P160" s="154"/>
      <c r="Q160" s="154"/>
    </row>
    <row r="161" spans="1:18">
      <c r="A161"/>
      <c r="B161"/>
      <c r="C161"/>
      <c r="D161"/>
      <c r="E161" s="169"/>
      <c r="F161" s="337" t="str">
        <f t="shared" si="6"/>
        <v>_</v>
      </c>
      <c r="G161" s="300"/>
      <c r="H161" s="300"/>
      <c r="I161" s="300"/>
      <c r="J161" s="351"/>
    </row>
    <row r="162" spans="1:18">
      <c r="A162"/>
      <c r="B162"/>
      <c r="C162"/>
      <c r="D162"/>
      <c r="E162" s="169"/>
      <c r="F162" s="337" t="str">
        <f t="shared" si="6"/>
        <v>_</v>
      </c>
      <c r="G162" s="300"/>
      <c r="H162" s="300"/>
      <c r="I162" s="300"/>
      <c r="J162" s="351"/>
    </row>
    <row r="163" spans="1:18">
      <c r="A163"/>
      <c r="B163"/>
      <c r="C163"/>
      <c r="D163"/>
      <c r="E163" s="169"/>
      <c r="F163" s="337" t="str">
        <f t="shared" si="6"/>
        <v>_</v>
      </c>
      <c r="G163" s="300"/>
      <c r="H163" s="300"/>
      <c r="I163" s="301"/>
      <c r="J163" s="351"/>
    </row>
    <row r="164" spans="1:18">
      <c r="A164"/>
      <c r="B164"/>
      <c r="C164"/>
      <c r="D164"/>
      <c r="E164" s="169"/>
      <c r="F164" s="337" t="str">
        <f t="shared" ref="F164:F193" si="7">CONCATENATE(C164,"_",D164)</f>
        <v>_</v>
      </c>
      <c r="G164" s="300"/>
      <c r="H164" s="300"/>
      <c r="I164" s="300"/>
      <c r="J164" s="351"/>
    </row>
    <row r="165" spans="1:18">
      <c r="A165"/>
      <c r="B165"/>
      <c r="C165"/>
      <c r="D165"/>
      <c r="E165" s="169"/>
      <c r="F165" s="337" t="str">
        <f t="shared" si="7"/>
        <v>_</v>
      </c>
      <c r="G165" s="300"/>
      <c r="H165" s="300"/>
      <c r="I165" s="300"/>
      <c r="J165" s="351"/>
    </row>
    <row r="166" spans="1:18">
      <c r="A166"/>
      <c r="B166"/>
      <c r="C166"/>
      <c r="D166"/>
      <c r="E166" s="169"/>
      <c r="F166" s="337" t="str">
        <f t="shared" si="7"/>
        <v>_</v>
      </c>
      <c r="G166" s="300"/>
      <c r="H166" s="300"/>
      <c r="I166" s="300"/>
      <c r="J166" s="351"/>
    </row>
    <row r="167" spans="1:18">
      <c r="A167"/>
      <c r="B167"/>
      <c r="C167"/>
      <c r="D167"/>
      <c r="E167" s="169"/>
      <c r="F167" s="337" t="str">
        <f t="shared" si="7"/>
        <v>_</v>
      </c>
      <c r="G167" s="300"/>
      <c r="H167" s="300"/>
      <c r="I167" s="300"/>
      <c r="J167" s="351"/>
    </row>
    <row r="168" spans="1:18">
      <c r="A168"/>
      <c r="B168"/>
      <c r="C168"/>
      <c r="D168"/>
      <c r="E168" s="169"/>
      <c r="F168" s="337" t="str">
        <f t="shared" si="7"/>
        <v>_</v>
      </c>
      <c r="G168" s="300"/>
      <c r="H168" s="300"/>
      <c r="I168" s="300"/>
      <c r="J168" s="351"/>
    </row>
    <row r="169" spans="1:18">
      <c r="A169"/>
      <c r="B169"/>
      <c r="C169"/>
      <c r="D169"/>
      <c r="E169" s="169"/>
      <c r="F169" s="337" t="str">
        <f t="shared" si="7"/>
        <v>_</v>
      </c>
      <c r="G169" s="300"/>
      <c r="H169" s="300"/>
      <c r="I169" s="300"/>
      <c r="J169" s="351"/>
    </row>
    <row r="170" spans="1:18">
      <c r="A170"/>
      <c r="B170"/>
      <c r="C170"/>
      <c r="D170"/>
      <c r="E170" s="169"/>
      <c r="F170" s="337" t="str">
        <f t="shared" si="7"/>
        <v>_</v>
      </c>
      <c r="G170" s="300"/>
      <c r="H170" s="300"/>
      <c r="I170" s="300"/>
      <c r="J170" s="351"/>
      <c r="Q170" s="188"/>
      <c r="R170" s="154"/>
    </row>
    <row r="171" spans="1:18">
      <c r="A171"/>
      <c r="B171"/>
      <c r="C171"/>
      <c r="D171"/>
      <c r="E171" s="169"/>
      <c r="F171" s="337" t="str">
        <f t="shared" si="7"/>
        <v>_</v>
      </c>
      <c r="G171" s="300"/>
      <c r="H171" s="300"/>
      <c r="I171" s="300"/>
      <c r="J171" s="351"/>
      <c r="Q171" s="188"/>
    </row>
    <row r="172" spans="1:18">
      <c r="A172"/>
      <c r="B172"/>
      <c r="C172"/>
      <c r="D172"/>
      <c r="E172" s="169"/>
      <c r="F172" s="337" t="str">
        <f t="shared" si="7"/>
        <v>_</v>
      </c>
      <c r="G172" s="300"/>
      <c r="H172" s="300"/>
      <c r="I172" s="300"/>
      <c r="J172" s="351"/>
      <c r="Q172" s="188"/>
    </row>
    <row r="173" spans="1:18">
      <c r="A173"/>
      <c r="B173"/>
      <c r="C173"/>
      <c r="D173"/>
      <c r="E173" s="169"/>
      <c r="F173" s="337" t="str">
        <f t="shared" si="7"/>
        <v>_</v>
      </c>
      <c r="G173" s="300"/>
      <c r="H173" s="300"/>
      <c r="I173" s="300"/>
      <c r="J173" s="351"/>
      <c r="Q173" s="188"/>
    </row>
    <row r="174" spans="1:18">
      <c r="A174"/>
      <c r="B174"/>
      <c r="C174"/>
      <c r="D174"/>
      <c r="E174" s="169"/>
      <c r="F174" s="337" t="str">
        <f t="shared" si="7"/>
        <v>_</v>
      </c>
      <c r="G174" s="300"/>
      <c r="H174" s="300"/>
      <c r="I174" s="301"/>
      <c r="J174" s="351"/>
      <c r="Q174" s="188"/>
    </row>
    <row r="175" spans="1:18">
      <c r="A175"/>
      <c r="B175"/>
      <c r="C175"/>
      <c r="D175"/>
      <c r="E175" s="169"/>
      <c r="F175" s="337" t="str">
        <f t="shared" si="7"/>
        <v>_</v>
      </c>
      <c r="G175" s="300"/>
      <c r="H175" s="300"/>
      <c r="I175" s="300"/>
      <c r="J175" s="351"/>
      <c r="Q175" s="188"/>
    </row>
    <row r="176" spans="1:18">
      <c r="A176"/>
      <c r="B176"/>
      <c r="C176"/>
      <c r="D176"/>
      <c r="E176" s="169"/>
      <c r="F176" s="337" t="str">
        <f t="shared" si="7"/>
        <v>_</v>
      </c>
      <c r="G176" s="300"/>
      <c r="H176" s="300"/>
      <c r="I176" s="300"/>
      <c r="J176" s="351"/>
      <c r="Q176" s="188"/>
    </row>
    <row r="177" spans="1:17">
      <c r="A177"/>
      <c r="B177"/>
      <c r="C177"/>
      <c r="D177"/>
      <c r="E177" s="169"/>
      <c r="F177" s="337" t="str">
        <f t="shared" si="7"/>
        <v>_</v>
      </c>
      <c r="G177" s="300"/>
      <c r="H177" s="300"/>
      <c r="I177" s="300"/>
      <c r="J177" s="351"/>
      <c r="Q177" s="188"/>
    </row>
    <row r="178" spans="1:17">
      <c r="A178"/>
      <c r="B178"/>
      <c r="C178"/>
      <c r="D178"/>
      <c r="E178" s="169"/>
      <c r="F178" s="337" t="str">
        <f t="shared" si="7"/>
        <v>_</v>
      </c>
      <c r="G178" s="300"/>
      <c r="H178" s="300"/>
      <c r="I178" s="300"/>
      <c r="J178" s="351"/>
      <c r="Q178" s="188"/>
    </row>
    <row r="179" spans="1:17">
      <c r="A179"/>
      <c r="B179"/>
      <c r="C179"/>
      <c r="D179"/>
      <c r="E179" s="169"/>
      <c r="F179" s="337" t="str">
        <f t="shared" si="7"/>
        <v>_</v>
      </c>
      <c r="G179" s="300"/>
      <c r="H179" s="300"/>
      <c r="I179" s="300"/>
      <c r="J179" s="351"/>
      <c r="Q179" s="188"/>
    </row>
    <row r="180" spans="1:17">
      <c r="A180"/>
      <c r="B180"/>
      <c r="C180"/>
      <c r="D180"/>
      <c r="E180" s="169"/>
      <c r="F180" s="337" t="str">
        <f t="shared" si="7"/>
        <v>_</v>
      </c>
      <c r="G180" s="300"/>
      <c r="H180" s="300"/>
      <c r="I180" s="300"/>
      <c r="J180" s="351"/>
      <c r="Q180" s="188"/>
    </row>
    <row r="181" spans="1:17">
      <c r="A181"/>
      <c r="B181"/>
      <c r="C181"/>
      <c r="D181"/>
      <c r="E181" s="169"/>
      <c r="F181" s="337" t="str">
        <f t="shared" si="7"/>
        <v>_</v>
      </c>
      <c r="G181" s="300"/>
      <c r="H181" s="300"/>
      <c r="I181" s="300"/>
      <c r="J181" s="351"/>
    </row>
    <row r="182" spans="1:17">
      <c r="A182"/>
      <c r="B182"/>
      <c r="C182"/>
      <c r="D182"/>
      <c r="E182" s="169"/>
      <c r="F182" s="337" t="str">
        <f t="shared" si="7"/>
        <v>_</v>
      </c>
      <c r="G182" s="300"/>
      <c r="H182" s="300"/>
      <c r="I182" s="300"/>
      <c r="J182" s="351"/>
    </row>
    <row r="183" spans="1:17">
      <c r="A183"/>
      <c r="B183"/>
      <c r="C183"/>
      <c r="D183"/>
      <c r="E183" s="169"/>
      <c r="F183" s="337" t="str">
        <f t="shared" si="7"/>
        <v>_</v>
      </c>
      <c r="G183" s="300"/>
      <c r="H183" s="300"/>
      <c r="I183" s="300"/>
      <c r="J183" s="351"/>
    </row>
    <row r="184" spans="1:17">
      <c r="A184"/>
      <c r="B184"/>
      <c r="C184"/>
      <c r="D184"/>
      <c r="E184" s="169"/>
      <c r="F184" s="337" t="str">
        <f t="shared" si="7"/>
        <v>_</v>
      </c>
      <c r="G184" s="300"/>
      <c r="H184" s="300"/>
      <c r="I184" s="300"/>
      <c r="J184" s="351"/>
    </row>
    <row r="185" spans="1:17">
      <c r="A185"/>
      <c r="B185"/>
      <c r="C185"/>
      <c r="D185"/>
      <c r="E185" s="169"/>
      <c r="F185" s="337" t="str">
        <f t="shared" si="7"/>
        <v>_</v>
      </c>
      <c r="G185" s="300"/>
      <c r="H185" s="300"/>
      <c r="I185" s="300"/>
      <c r="J185" s="351"/>
    </row>
    <row r="186" spans="1:17">
      <c r="A186"/>
      <c r="B186"/>
      <c r="C186"/>
      <c r="D186"/>
      <c r="E186" s="169"/>
      <c r="F186" s="337" t="str">
        <f t="shared" si="7"/>
        <v>_</v>
      </c>
      <c r="G186" s="300"/>
      <c r="H186" s="300"/>
      <c r="I186" s="300"/>
      <c r="J186" s="351"/>
    </row>
    <row r="187" spans="1:17">
      <c r="A187"/>
      <c r="B187"/>
      <c r="C187"/>
      <c r="D187"/>
      <c r="E187" s="169"/>
      <c r="F187" s="337" t="str">
        <f t="shared" si="7"/>
        <v>_</v>
      </c>
      <c r="G187" s="300"/>
      <c r="H187" s="300"/>
      <c r="I187" s="300"/>
      <c r="J187" s="351"/>
    </row>
    <row r="188" spans="1:17">
      <c r="A188"/>
      <c r="B188"/>
      <c r="C188"/>
      <c r="D188"/>
      <c r="E188" s="169"/>
      <c r="F188" s="337" t="str">
        <f t="shared" si="7"/>
        <v>_</v>
      </c>
      <c r="G188" s="300"/>
      <c r="H188" s="300"/>
      <c r="I188" s="300"/>
      <c r="J188" s="351"/>
    </row>
    <row r="189" spans="1:17">
      <c r="A189"/>
      <c r="B189"/>
      <c r="C189"/>
      <c r="D189"/>
      <c r="E189" s="169"/>
      <c r="F189" s="337" t="str">
        <f t="shared" si="7"/>
        <v>_</v>
      </c>
      <c r="G189" s="300"/>
      <c r="H189" s="300"/>
      <c r="I189" s="300"/>
      <c r="J189" s="351"/>
    </row>
    <row r="190" spans="1:17">
      <c r="A190"/>
      <c r="B190"/>
      <c r="C190"/>
      <c r="D190"/>
      <c r="E190" s="169"/>
      <c r="F190" s="337" t="str">
        <f t="shared" si="7"/>
        <v>_</v>
      </c>
      <c r="G190" s="300"/>
      <c r="H190" s="300"/>
      <c r="I190" s="300"/>
      <c r="J190" s="351"/>
    </row>
    <row r="191" spans="1:17">
      <c r="A191"/>
      <c r="B191"/>
      <c r="C191"/>
      <c r="D191"/>
      <c r="E191" s="169"/>
      <c r="F191" s="337" t="str">
        <f t="shared" si="7"/>
        <v>_</v>
      </c>
      <c r="G191" s="300"/>
      <c r="H191" s="300"/>
      <c r="I191" s="300"/>
      <c r="J191" s="351"/>
    </row>
    <row r="192" spans="1:17" customFormat="1">
      <c r="E192" s="169"/>
      <c r="F192" s="337" t="str">
        <f t="shared" si="7"/>
        <v>_</v>
      </c>
      <c r="J192" s="169"/>
    </row>
    <row r="193" spans="5:10" s="300" customFormat="1">
      <c r="E193" s="351"/>
      <c r="F193" s="338" t="str">
        <f t="shared" si="7"/>
        <v>_</v>
      </c>
      <c r="J193" s="351"/>
    </row>
    <row r="194" spans="5:10" s="300" customFormat="1">
      <c r="E194" s="351"/>
      <c r="J194" s="351"/>
    </row>
    <row r="195" spans="5:10" customFormat="1">
      <c r="E195" s="169"/>
      <c r="J195" s="169"/>
    </row>
    <row r="196" spans="5:10" customFormat="1">
      <c r="E196" s="169"/>
      <c r="J196" s="169"/>
    </row>
    <row r="197" spans="5:10" customFormat="1">
      <c r="E197" s="169"/>
      <c r="J197" s="169"/>
    </row>
    <row r="198" spans="5:10" customFormat="1">
      <c r="E198" s="169"/>
      <c r="J198" s="169"/>
    </row>
    <row r="199" spans="5:10" customFormat="1">
      <c r="E199" s="169"/>
      <c r="J199" s="169"/>
    </row>
    <row r="200" spans="5:10"/>
    <row r="201" spans="5:10"/>
    <row r="202" spans="5:10"/>
    <row r="203" spans="5:10"/>
    <row r="204" spans="5:10"/>
    <row r="205" spans="5:10"/>
    <row r="206" spans="5:10"/>
    <row r="207" spans="5:10"/>
    <row r="208" spans="5:10"/>
    <row r="209"/>
    <row r="210"/>
    <row r="211"/>
    <row r="212"/>
    <row r="213"/>
    <row r="214"/>
    <row r="215"/>
    <row r="216"/>
    <row r="217"/>
    <row r="218"/>
    <row r="219"/>
    <row r="220"/>
    <row r="221"/>
    <row r="222"/>
    <row r="223"/>
    <row r="224"/>
    <row r="225"/>
    <row r="226"/>
    <row r="227"/>
    <row r="228"/>
    <row r="229"/>
    <row r="230"/>
    <row r="1048514"/>
    <row r="1048515"/>
    <row r="1048516"/>
    <row r="1048517"/>
    <row r="1048518"/>
    <row r="1048519"/>
    <row r="1048520"/>
    <row r="1048521"/>
    <row r="1048522"/>
    <row r="1048523"/>
    <row r="1048524"/>
    <row r="1048525"/>
    <row r="1048527"/>
    <row r="1048528"/>
    <row r="1048529"/>
    <row r="1048530"/>
    <row r="1048531"/>
    <row r="1048532"/>
    <row r="1048533"/>
    <row r="1048534"/>
    <row r="1048535"/>
    <row r="1048536"/>
    <row r="1048537"/>
    <row r="1048538"/>
    <row r="1048539"/>
    <row r="1048540"/>
    <row r="1048541"/>
    <row r="1048542"/>
    <row r="1048543"/>
    <row r="1048544"/>
    <row r="1048545"/>
    <row r="1048546"/>
    <row r="1048547"/>
    <row r="1048548"/>
    <row r="1048549"/>
    <row r="1048550"/>
    <row r="1048551"/>
    <row r="1048552"/>
    <row r="1048553"/>
    <row r="1048554"/>
    <row r="1048555"/>
    <row r="1048556"/>
    <row r="1048557"/>
    <row r="1048558"/>
    <row r="1048559"/>
    <row r="1048560"/>
    <row r="1048561"/>
    <row r="1048562"/>
    <row r="1048563"/>
    <row r="1048564"/>
    <row r="1048565"/>
    <row r="1048566"/>
    <row r="1048567"/>
    <row r="1048568"/>
    <row r="1048569"/>
    <row r="1048570"/>
    <row r="1048571"/>
    <row r="1048572"/>
    <row r="1048573"/>
    <row r="1048574"/>
    <row r="1048575"/>
    <row r="1048576"/>
  </sheetData>
  <mergeCells count="3">
    <mergeCell ref="K57:L57"/>
    <mergeCell ref="A1:J1"/>
    <mergeCell ref="K121:L121"/>
  </mergeCells>
  <conditionalFormatting sqref="C186">
    <cfRule type="duplicateValues" dxfId="14" priority="4"/>
  </conditionalFormatting>
  <hyperlinks>
    <hyperlink ref="J108" r:id="rId1" xr:uid="{C2C2977A-750F-43A5-AD02-32DF6BEE28F6}"/>
    <hyperlink ref="J44" r:id="rId2" xr:uid="{1085B8F8-C434-460F-980A-2C8EE83ECF50}"/>
    <hyperlink ref="J52" r:id="rId3" xr:uid="{F5F05BDB-CB4D-4EA0-9076-5E4260642D77}"/>
    <hyperlink ref="J48" r:id="rId4" xr:uid="{49E11CDF-F9AC-4379-AA1A-8B20DBBC6D7C}"/>
    <hyperlink ref="J100" r:id="rId5" xr:uid="{22CA488E-3F0F-4F66-B43C-890959BAEB3A}"/>
    <hyperlink ref="J105" r:id="rId6" xr:uid="{75FDBDA3-3533-4A05-8D2C-B0C1E54DEAE8}"/>
    <hyperlink ref="J12" r:id="rId7" xr:uid="{F5E62E3C-DA70-48F0-A642-9A4F51C6E9B8}"/>
    <hyperlink ref="J88" r:id="rId8" display="https://explorer.natureserve.org" xr:uid="{D833947C-7C6D-40CB-A810-94702F5BBA97}"/>
    <hyperlink ref="I57" r:id="rId9" xr:uid="{9CD86FA0-A704-4AAB-B9C2-AFF293D7DF7A}"/>
    <hyperlink ref="I123" r:id="rId10" xr:uid="{3E7EB564-26B6-44E3-86B9-4B9B50AB71CC}"/>
    <hyperlink ref="I59" r:id="rId11" xr:uid="{AFA6DD93-EBA4-4B9D-A781-9CC3F03BDA30}"/>
    <hyperlink ref="I121" r:id="rId12" xr:uid="{86531F94-AAB3-4F9A-8FF4-916122462B4A}"/>
  </hyperlinks>
  <pageMargins left="0.7" right="0.7" top="0.75" bottom="0.75" header="0.3" footer="0.3"/>
  <pageSetup paperSize="119" scale="28" fitToHeight="18" orientation="landscape" horizontalDpi="4294967295" verticalDpi="4294967295" r:id="rId13"/>
  <rowBreaks count="1" manualBreakCount="1">
    <brk id="70" max="9" man="1"/>
  </rowBreaks>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G40"/>
  <sheetViews>
    <sheetView view="pageBreakPreview" zoomScale="85" zoomScaleNormal="55" zoomScaleSheetLayoutView="85" zoomScalePageLayoutView="85" workbookViewId="0">
      <selection activeCell="B2" sqref="B2"/>
    </sheetView>
  </sheetViews>
  <sheetFormatPr defaultColWidth="9.21875" defaultRowHeight="13.2"/>
  <cols>
    <col min="1" max="1" width="3" style="35" customWidth="1"/>
    <col min="2" max="2" width="65.44140625" style="35" customWidth="1"/>
    <col min="3" max="3" width="28.77734375" style="35" customWidth="1"/>
    <col min="4" max="4" width="69.77734375" style="35" customWidth="1"/>
    <col min="5" max="5" width="59.21875" style="35" customWidth="1"/>
    <col min="6" max="6" width="49.77734375" style="35" customWidth="1"/>
    <col min="7" max="7" width="10.77734375" style="35" customWidth="1"/>
    <col min="8" max="16384" width="9.21875" style="35"/>
  </cols>
  <sheetData>
    <row r="1" spans="2:6">
      <c r="B1" s="122" t="s">
        <v>171</v>
      </c>
    </row>
    <row r="2" spans="2:6">
      <c r="B2" s="77" t="s">
        <v>193</v>
      </c>
      <c r="D2" s="76"/>
      <c r="E2" s="75"/>
      <c r="F2" s="76"/>
    </row>
    <row r="3" spans="2:6">
      <c r="B3" s="75"/>
      <c r="C3" s="76"/>
      <c r="D3" s="76"/>
      <c r="E3" s="75"/>
      <c r="F3" s="76"/>
    </row>
    <row r="4" spans="2:6">
      <c r="B4" s="121" t="s">
        <v>124</v>
      </c>
      <c r="C4" s="121" t="s">
        <v>263</v>
      </c>
      <c r="D4" s="121" t="s">
        <v>123</v>
      </c>
      <c r="E4" s="121" t="s">
        <v>167</v>
      </c>
      <c r="F4" s="76"/>
    </row>
    <row r="5" spans="2:6" ht="26.4">
      <c r="B5" s="27" t="s">
        <v>41</v>
      </c>
      <c r="C5" s="165" t="s">
        <v>125</v>
      </c>
      <c r="D5" s="114" t="s">
        <v>169</v>
      </c>
      <c r="E5" s="221" t="s">
        <v>300</v>
      </c>
      <c r="F5" s="76"/>
    </row>
    <row r="6" spans="2:6" ht="39.6">
      <c r="B6" s="27" t="s">
        <v>137</v>
      </c>
      <c r="C6" s="165" t="s">
        <v>126</v>
      </c>
      <c r="D6" s="220" t="s">
        <v>479</v>
      </c>
      <c r="E6" s="113" t="s">
        <v>166</v>
      </c>
      <c r="F6" s="76"/>
    </row>
    <row r="7" spans="2:6" ht="26.4">
      <c r="B7" s="205" t="s">
        <v>297</v>
      </c>
      <c r="C7" s="165" t="s">
        <v>127</v>
      </c>
      <c r="D7" s="220" t="s">
        <v>301</v>
      </c>
      <c r="E7" s="370" t="s">
        <v>530</v>
      </c>
      <c r="F7" s="76"/>
    </row>
    <row r="8" spans="2:6" ht="26.4">
      <c r="B8" s="27" t="s">
        <v>138</v>
      </c>
      <c r="C8" s="165" t="s">
        <v>36</v>
      </c>
      <c r="D8" s="114" t="s">
        <v>170</v>
      </c>
      <c r="E8" s="409" t="s">
        <v>539</v>
      </c>
      <c r="F8" s="76"/>
    </row>
    <row r="9" spans="2:6" ht="26.4">
      <c r="B9" s="27" t="s">
        <v>264</v>
      </c>
      <c r="C9" s="166" t="s">
        <v>139</v>
      </c>
      <c r="D9" s="114" t="s">
        <v>221</v>
      </c>
      <c r="E9" s="115" t="s">
        <v>129</v>
      </c>
      <c r="F9" s="76"/>
    </row>
    <row r="10" spans="2:6" ht="40.049999999999997" customHeight="1">
      <c r="B10" s="27" t="s">
        <v>265</v>
      </c>
      <c r="C10" s="167" t="s">
        <v>140</v>
      </c>
      <c r="D10" s="114" t="s">
        <v>222</v>
      </c>
      <c r="E10" s="115" t="s">
        <v>129</v>
      </c>
      <c r="F10" s="76"/>
    </row>
    <row r="11" spans="2:6" ht="26.4">
      <c r="B11" s="27" t="s">
        <v>266</v>
      </c>
      <c r="C11" s="195" t="s">
        <v>285</v>
      </c>
      <c r="D11" s="220" t="s">
        <v>467</v>
      </c>
      <c r="E11" s="27" t="s">
        <v>128</v>
      </c>
      <c r="F11" s="76"/>
    </row>
    <row r="12" spans="2:6" ht="26.4">
      <c r="B12" s="27" t="s">
        <v>172</v>
      </c>
      <c r="C12" s="168" t="s">
        <v>31</v>
      </c>
      <c r="D12" s="220" t="s">
        <v>302</v>
      </c>
      <c r="E12" s="371" t="s">
        <v>531</v>
      </c>
      <c r="F12" s="76"/>
    </row>
    <row r="13" spans="2:6" ht="26.4">
      <c r="B13" s="27" t="s">
        <v>173</v>
      </c>
      <c r="C13" s="168" t="s">
        <v>32</v>
      </c>
      <c r="D13" s="220" t="s">
        <v>303</v>
      </c>
      <c r="E13" s="371" t="s">
        <v>531</v>
      </c>
      <c r="F13" s="76"/>
    </row>
    <row r="14" spans="2:6" ht="26.4">
      <c r="B14" s="27" t="s">
        <v>174</v>
      </c>
      <c r="C14" s="168" t="s">
        <v>33</v>
      </c>
      <c r="D14" s="220" t="s">
        <v>304</v>
      </c>
      <c r="E14" s="371" t="s">
        <v>531</v>
      </c>
      <c r="F14" s="76"/>
    </row>
    <row r="15" spans="2:6" ht="26.4">
      <c r="B15" s="27" t="s">
        <v>175</v>
      </c>
      <c r="C15" s="168" t="s">
        <v>29</v>
      </c>
      <c r="D15" s="220" t="s">
        <v>305</v>
      </c>
      <c r="E15" s="371" t="s">
        <v>531</v>
      </c>
      <c r="F15" s="76"/>
    </row>
    <row r="16" spans="2:6" ht="26.4">
      <c r="B16" s="27" t="s">
        <v>176</v>
      </c>
      <c r="C16" s="168" t="s">
        <v>30</v>
      </c>
      <c r="D16" s="220" t="s">
        <v>306</v>
      </c>
      <c r="E16" s="371" t="s">
        <v>531</v>
      </c>
      <c r="F16" s="76"/>
    </row>
    <row r="17" spans="2:7" ht="26.4">
      <c r="B17" s="27" t="s">
        <v>177</v>
      </c>
      <c r="C17" s="168" t="s">
        <v>35</v>
      </c>
      <c r="D17" s="220" t="s">
        <v>307</v>
      </c>
      <c r="E17" s="371" t="s">
        <v>531</v>
      </c>
      <c r="F17" s="76"/>
    </row>
    <row r="18" spans="2:7" ht="26.4">
      <c r="B18" s="441" t="s">
        <v>548</v>
      </c>
      <c r="C18" s="432" t="s">
        <v>178</v>
      </c>
      <c r="D18" s="441" t="s">
        <v>549</v>
      </c>
      <c r="E18" s="371" t="s">
        <v>531</v>
      </c>
      <c r="F18" s="76"/>
    </row>
    <row r="19" spans="2:7" ht="19.5" customHeight="1">
      <c r="B19" s="27" t="s">
        <v>179</v>
      </c>
      <c r="C19" s="432" t="s">
        <v>180</v>
      </c>
      <c r="D19" s="27" t="s">
        <v>181</v>
      </c>
      <c r="E19" s="27" t="s">
        <v>128</v>
      </c>
      <c r="F19" s="76"/>
    </row>
    <row r="20" spans="2:7" ht="19.5" customHeight="1">
      <c r="B20" s="117" t="s">
        <v>0</v>
      </c>
      <c r="C20" s="368" t="s">
        <v>182</v>
      </c>
      <c r="D20" s="114" t="s">
        <v>183</v>
      </c>
      <c r="E20" s="27" t="s">
        <v>128</v>
      </c>
      <c r="F20" s="76"/>
    </row>
    <row r="21" spans="2:7" ht="26.4">
      <c r="B21" s="117" t="s">
        <v>0</v>
      </c>
      <c r="C21" s="368" t="s">
        <v>168</v>
      </c>
      <c r="D21" s="114" t="s">
        <v>184</v>
      </c>
      <c r="E21" s="27" t="s">
        <v>128</v>
      </c>
      <c r="F21" s="4"/>
      <c r="G21" s="76"/>
    </row>
    <row r="22" spans="2:7">
      <c r="B22" s="117" t="s">
        <v>0</v>
      </c>
      <c r="C22" s="368" t="s">
        <v>268</v>
      </c>
      <c r="D22" s="114" t="s">
        <v>269</v>
      </c>
      <c r="E22" s="27" t="s">
        <v>128</v>
      </c>
      <c r="F22" s="4"/>
      <c r="G22" s="76"/>
    </row>
    <row r="24" spans="2:7">
      <c r="E24" s="76"/>
      <c r="F24" s="4"/>
      <c r="G24" s="76"/>
    </row>
    <row r="25" spans="2:7">
      <c r="E25" s="76"/>
      <c r="F25" s="4"/>
      <c r="G25" s="76"/>
    </row>
    <row r="26" spans="2:7">
      <c r="E26" s="75"/>
      <c r="F26" s="76"/>
      <c r="G26" s="76"/>
    </row>
    <row r="27" spans="2:7">
      <c r="E27" s="75"/>
      <c r="F27" s="76"/>
      <c r="G27" s="76"/>
    </row>
    <row r="28" spans="2:7">
      <c r="E28" s="76"/>
      <c r="F28" s="76"/>
      <c r="G28" s="76"/>
    </row>
    <row r="29" spans="2:7">
      <c r="E29" s="76"/>
      <c r="F29" s="76"/>
      <c r="G29" s="76"/>
    </row>
    <row r="30" spans="2:7">
      <c r="E30" s="76"/>
      <c r="F30" s="76"/>
      <c r="G30" s="76"/>
    </row>
    <row r="31" spans="2:7">
      <c r="E31" s="76"/>
      <c r="F31" s="78"/>
      <c r="G31" s="76"/>
    </row>
    <row r="32" spans="2:7">
      <c r="E32" s="76"/>
      <c r="F32" s="78"/>
      <c r="G32" s="76"/>
    </row>
    <row r="38" spans="6:7">
      <c r="G38" s="74"/>
    </row>
    <row r="40" spans="6:7">
      <c r="F40" s="73"/>
    </row>
  </sheetData>
  <pageMargins left="0.7" right="0.7" top="0.75" bottom="0.75" header="0.3" footer="0.3"/>
  <pageSetup scale="54" orientation="landscape" r:id="rId1"/>
  <headerFooter>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527B-3DC9-417D-A906-C238CE8B6E72}">
  <sheetPr>
    <tabColor rgb="FFFF0000"/>
  </sheetPr>
  <dimension ref="A2:G22"/>
  <sheetViews>
    <sheetView view="pageBreakPreview" zoomScale="115" zoomScaleNormal="85" zoomScaleSheetLayoutView="115" workbookViewId="0">
      <selection activeCell="E26" sqref="E26"/>
    </sheetView>
  </sheetViews>
  <sheetFormatPr defaultColWidth="8.77734375" defaultRowHeight="14.4"/>
  <cols>
    <col min="1" max="1" width="26.77734375" customWidth="1"/>
    <col min="2" max="2" width="20.21875" bestFit="1" customWidth="1"/>
    <col min="3" max="3" width="18.21875" bestFit="1" customWidth="1"/>
    <col min="4" max="4" width="14.21875" bestFit="1" customWidth="1"/>
    <col min="5" max="5" width="12" bestFit="1" customWidth="1"/>
    <col min="6" max="6" width="20.21875" bestFit="1" customWidth="1"/>
    <col min="7" max="7" width="12" bestFit="1" customWidth="1"/>
  </cols>
  <sheetData>
    <row r="2" spans="1:7">
      <c r="B2" t="str">
        <f>Mam_1</f>
        <v>Eastern Cottontail</v>
      </c>
      <c r="C2" t="str">
        <f>Mam_2</f>
        <v>Short-Tailed Shrew</v>
      </c>
      <c r="D2" t="str">
        <f>Mam_3</f>
        <v>Anastasia Beach Deermouse (T&amp;E)</v>
      </c>
      <c r="E2" t="str">
        <f>Bird1</f>
        <v>Willow Ptarmigan</v>
      </c>
      <c r="F2" t="str">
        <f>Bird2</f>
        <v>American Woodcock</v>
      </c>
      <c r="G2" t="str">
        <f>Bird3</f>
        <v>Florida Scrub-Jay (T&amp;E)</v>
      </c>
    </row>
    <row r="3" spans="1:7">
      <c r="A3" s="5" t="s">
        <v>59</v>
      </c>
      <c r="B3" s="209">
        <f>'Mam1'!M10</f>
        <v>4.9778154997893766E-3</v>
      </c>
      <c r="C3" s="209">
        <f>'Mam2'!M10</f>
        <v>4.898824700800932E-4</v>
      </c>
      <c r="D3" s="209">
        <f>'Mam3'!M10</f>
        <v>6.4372988950920076E-3</v>
      </c>
      <c r="E3" s="209">
        <f>Bird1!M10</f>
        <v>3.9405217819715984E-3</v>
      </c>
      <c r="F3" s="209">
        <f>Bird2!M10</f>
        <v>7.9481456155627319E-4</v>
      </c>
      <c r="G3" s="209">
        <f>Bird3!M10</f>
        <v>1.6571324929967829E-3</v>
      </c>
    </row>
    <row r="4" spans="1:7">
      <c r="A4" s="5" t="s">
        <v>60</v>
      </c>
      <c r="B4" s="209">
        <f>'Mam1'!M11</f>
        <v>2.938863802431152E-2</v>
      </c>
      <c r="C4" s="209">
        <f>'Mam2'!M11</f>
        <v>2.9934597428764561E-3</v>
      </c>
      <c r="D4" s="209">
        <f>'Mam3'!M11</f>
        <v>3.8039318934670725E-2</v>
      </c>
      <c r="E4" s="209">
        <f>Bird1!M11</f>
        <v>2.3280950659900386E-2</v>
      </c>
      <c r="F4" s="209">
        <f>Bird2!M11</f>
        <v>4.7404560074753264E-3</v>
      </c>
      <c r="G4" s="209">
        <f>Bird3!M11</f>
        <v>9.8274231746740166E-3</v>
      </c>
    </row>
    <row r="5" spans="1:7">
      <c r="A5" s="5" t="s">
        <v>61</v>
      </c>
      <c r="B5" s="209">
        <f>'Mam1'!M12</f>
        <v>1.0641212853271365E-5</v>
      </c>
      <c r="C5" s="209">
        <f>'Mam2'!M12</f>
        <v>3.4073738611740208E-5</v>
      </c>
      <c r="D5" s="209">
        <f>'Mam3'!M12</f>
        <v>1.3773412697114689E-5</v>
      </c>
      <c r="E5" s="209">
        <f>Bird1!M12</f>
        <v>3.879950489632186E-6</v>
      </c>
      <c r="F5" s="209">
        <f>Bird2!M12</f>
        <v>4.4798319651242216E-5</v>
      </c>
      <c r="G5" s="209">
        <f>Bird3!M12</f>
        <v>7.7894151040563557E-6</v>
      </c>
    </row>
    <row r="6" spans="1:7">
      <c r="A6" s="5" t="s">
        <v>62</v>
      </c>
      <c r="B6" s="209">
        <f>'Mam1'!M13</f>
        <v>4.2607424105235844E-3</v>
      </c>
      <c r="C6" s="209">
        <f>'Mam2'!M13</f>
        <v>1.3520610940683728E-3</v>
      </c>
      <c r="D6" s="209">
        <f>'Mam3'!M13</f>
        <v>5.6839207168284511E-3</v>
      </c>
      <c r="E6" s="209">
        <f>Bird1!M13</f>
        <v>3.4029878245460513E-3</v>
      </c>
      <c r="F6" s="209">
        <f>Bird2!M13</f>
        <v>1.4627315073615236E-3</v>
      </c>
      <c r="G6" s="209">
        <f>Bird3!M13</f>
        <v>1.6885233317124272E-3</v>
      </c>
    </row>
    <row r="7" spans="1:7">
      <c r="A7" s="5" t="s">
        <v>38</v>
      </c>
      <c r="B7" s="209">
        <f>'Mam1'!M14</f>
        <v>1.6041884616122844E-5</v>
      </c>
      <c r="C7" s="209">
        <f>'Mam2'!M14</f>
        <v>1.5796629431057733E-5</v>
      </c>
      <c r="D7" s="209">
        <f>'Mam3'!M14</f>
        <v>1.3935590704258519E-5</v>
      </c>
      <c r="E7" s="209">
        <f>Bird1!M14</f>
        <v>4.4181686361868966E-6</v>
      </c>
      <c r="F7" s="209">
        <f>Bird2!M14</f>
        <v>3.8329077760976747E-5</v>
      </c>
      <c r="G7" s="209">
        <f>Bird3!M14</f>
        <v>1.502259340347492E-6</v>
      </c>
    </row>
    <row r="8" spans="1:7">
      <c r="A8" s="5" t="s">
        <v>63</v>
      </c>
      <c r="B8" s="209">
        <f>'Mam1'!M15</f>
        <v>8.2747570742199798E-4</v>
      </c>
      <c r="C8" s="209">
        <f>'Mam2'!M15</f>
        <v>1.0601378665069888E-2</v>
      </c>
      <c r="D8" s="209">
        <f>'Mam3'!M15</f>
        <v>3.0590125043111639E-3</v>
      </c>
      <c r="E8" s="209">
        <f>Bird1!M15</f>
        <v>1.0150318986607461E-3</v>
      </c>
      <c r="F8" s="209">
        <f>Bird2!M15</f>
        <v>8.8945639533250607E-3</v>
      </c>
      <c r="G8" s="209">
        <f>Bird3!M15</f>
        <v>3.3550410255912132E-3</v>
      </c>
    </row>
    <row r="9" spans="1:7">
      <c r="A9" s="5" t="s">
        <v>64</v>
      </c>
      <c r="B9" s="209">
        <f>'Mam1'!M16</f>
        <v>7.7749997623570194E-4</v>
      </c>
      <c r="C9" s="209">
        <f>'Mam2'!M16</f>
        <v>4.0120362885703392E-2</v>
      </c>
      <c r="D9" s="209">
        <f>'Mam3'!M16</f>
        <v>8.5982630770521633E-3</v>
      </c>
      <c r="E9" s="209">
        <f>Bird1!M16</f>
        <v>2.0060952800703808E-3</v>
      </c>
      <c r="F9" s="209">
        <f>Bird2!M16</f>
        <v>3.3422623286722526E-2</v>
      </c>
      <c r="G9" s="209">
        <f>Bird3!M16</f>
        <v>1.1999691962494383E-2</v>
      </c>
    </row>
    <row r="10" spans="1:7">
      <c r="A10" s="5" t="s">
        <v>65</v>
      </c>
      <c r="B10" s="209">
        <f>'Mam1'!M17</f>
        <v>7.0517161320008076E-4</v>
      </c>
      <c r="C10" s="209">
        <f>'Mam2'!M17</f>
        <v>6.012684870354857E-2</v>
      </c>
      <c r="D10" s="209">
        <f>'Mam3'!M17</f>
        <v>1.2305656462830558E-2</v>
      </c>
      <c r="E10" s="209">
        <f>Bird1!M17</f>
        <v>2.6495454529842978E-3</v>
      </c>
      <c r="F10" s="209">
        <f>Bird2!M17</f>
        <v>5.003794465739983E-2</v>
      </c>
      <c r="G10" s="209">
        <f>Bird3!M17</f>
        <v>1.784862920470881E-2</v>
      </c>
    </row>
    <row r="11" spans="1:7">
      <c r="A11" s="5" t="s">
        <v>66</v>
      </c>
      <c r="B11" s="209">
        <f>'Mam1'!M18</f>
        <v>7.7951025598125862E-4</v>
      </c>
      <c r="C11" s="209">
        <f>'Mam2'!M18</f>
        <v>0.11748440110167176</v>
      </c>
      <c r="D11" s="209">
        <f>'Mam3'!M18</f>
        <v>2.3290506547410883E-2</v>
      </c>
      <c r="E11" s="209">
        <f>Bird1!M18</f>
        <v>4.7133787268552789E-3</v>
      </c>
      <c r="F11" s="209">
        <f>Bird2!M18</f>
        <v>9.7703037951312188E-2</v>
      </c>
      <c r="G11" s="209">
        <f>Bird3!M18</f>
        <v>3.4700465509806787E-2</v>
      </c>
    </row>
    <row r="12" spans="1:7">
      <c r="A12" s="5" t="s">
        <v>67</v>
      </c>
      <c r="B12" s="209">
        <f>'Mam1'!M19</f>
        <v>2.2322705452099461E-5</v>
      </c>
      <c r="C12" s="209">
        <f>'Mam2'!M19</f>
        <v>2.3833429759935779E-5</v>
      </c>
      <c r="D12" s="209">
        <f>'Mam3'!M19</f>
        <v>1.696447265060061E-5</v>
      </c>
      <c r="E12" s="209">
        <f>Bird1!M19</f>
        <v>3.4905610386686618E-6</v>
      </c>
      <c r="F12" s="209">
        <f>Bird2!M19</f>
        <v>6.2090104277892063E-5</v>
      </c>
      <c r="G12" s="209">
        <f>Bird3!M19</f>
        <v>6.363636363636364E-7</v>
      </c>
    </row>
    <row r="13" spans="1:7">
      <c r="A13" s="5" t="s">
        <v>68</v>
      </c>
      <c r="B13" s="209">
        <f>'Mam1'!M20</f>
        <v>2.885350788738252E-5</v>
      </c>
      <c r="C13" s="209">
        <f>'Mam2'!M20</f>
        <v>3.7995694717023002E-5</v>
      </c>
      <c r="D13" s="209">
        <f>'Mam3'!M20</f>
        <v>2.4728561385681218E-5</v>
      </c>
      <c r="E13" s="209">
        <f>Bird1!M20</f>
        <v>6.0559244463481761E-6</v>
      </c>
      <c r="F13" s="209">
        <f>Bird2!M20</f>
        <v>8.2656997272773371E-5</v>
      </c>
      <c r="G13" s="209">
        <f>Bird3!M20</f>
        <v>4.2128893702099965E-6</v>
      </c>
    </row>
    <row r="14" spans="1:7">
      <c r="A14" s="5" t="s">
        <v>69</v>
      </c>
      <c r="B14" s="209">
        <f>'Mam1'!M22</f>
        <v>9.0462859205430648E-3</v>
      </c>
      <c r="C14" s="209">
        <f>'Mam2'!M22</f>
        <v>8.8726012455100651E-4</v>
      </c>
      <c r="D14" s="209">
        <f>'Mam3'!M22</f>
        <v>1.1700525644756314E-2</v>
      </c>
      <c r="E14" s="209">
        <f>Bird1!M22</f>
        <v>7.1632303453211359E-3</v>
      </c>
      <c r="F14" s="209">
        <f>Bird2!M22</f>
        <v>1.4359013605082748E-3</v>
      </c>
      <c r="G14" s="209">
        <f>Bird3!M22</f>
        <v>3.0130122225175901E-3</v>
      </c>
    </row>
    <row r="15" spans="1:7">
      <c r="A15" s="5" t="s">
        <v>70</v>
      </c>
      <c r="B15" s="209">
        <f>'Mam1'!M23</f>
        <v>1.1771343525702946E-5</v>
      </c>
      <c r="C15" s="209">
        <f>'Mam2'!M23</f>
        <v>2.6182612119846932E-2</v>
      </c>
      <c r="D15" s="209">
        <f>'Mam3'!M23</f>
        <v>4.9813296922219556E-3</v>
      </c>
      <c r="E15" s="209">
        <f>Bird1!M23</f>
        <v>9.2032094368256435E-4</v>
      </c>
      <c r="F15" s="209">
        <f>Bird2!M23</f>
        <v>2.1768385990539894E-2</v>
      </c>
      <c r="G15" s="209">
        <f>Bird3!M23</f>
        <v>7.6815077343661995E-3</v>
      </c>
    </row>
    <row r="16" spans="1:7">
      <c r="A16" s="5" t="s">
        <v>37</v>
      </c>
      <c r="B16" s="209">
        <f>'Mam1'!M24</f>
        <v>3.1329422791824229E-3</v>
      </c>
      <c r="C16" s="209">
        <f>'Mam2'!M24</f>
        <v>3.2145190674025964E-4</v>
      </c>
      <c r="D16" s="209">
        <f>'Mam3'!M24</f>
        <v>4.0463837553974128E-3</v>
      </c>
      <c r="E16" s="209">
        <f>Bird1!M24</f>
        <v>2.4734137176889159E-3</v>
      </c>
      <c r="F16" s="209">
        <f>Bird2!M24</f>
        <v>5.3048620859400962E-4</v>
      </c>
      <c r="G16" s="209">
        <f>Bird3!M24</f>
        <v>1.040614751760278E-3</v>
      </c>
    </row>
    <row r="17" spans="1:7">
      <c r="A17" s="5" t="s">
        <v>71</v>
      </c>
      <c r="B17" s="209">
        <f>'Mam1'!M25</f>
        <v>4.5925245297956804E-5</v>
      </c>
      <c r="C17" s="209">
        <f>'Mam2'!M25</f>
        <v>6.6479324502315346E-4</v>
      </c>
      <c r="D17" s="209">
        <f>'Mam3'!M25</f>
        <v>1.8180350954557207E-4</v>
      </c>
      <c r="E17" s="209">
        <f>Bird1!M25</f>
        <v>5.6873383127595461E-5</v>
      </c>
      <c r="F17" s="209">
        <f>Bird2!M25</f>
        <v>5.6317776858497647E-4</v>
      </c>
      <c r="G17" s="209">
        <f>Bird3!M25</f>
        <v>2.0619247423427024E-4</v>
      </c>
    </row>
    <row r="18" spans="1:7">
      <c r="A18" s="6" t="s">
        <v>72</v>
      </c>
      <c r="B18" s="209">
        <f>'Mam1'!M27</f>
        <v>1.2699403528468327E-5</v>
      </c>
      <c r="C18" s="209">
        <f>'Mam2'!M27</f>
        <v>7.2756836281793143E-6</v>
      </c>
      <c r="D18" s="209">
        <f>'Mam3'!M27</f>
        <v>1.4561473530962956E-5</v>
      </c>
      <c r="E18" s="209">
        <f>Bird1!M27</f>
        <v>7.6462877123795312E-6</v>
      </c>
      <c r="F18" s="209">
        <f>Bird2!M27</f>
        <v>1.4390415666629454E-5</v>
      </c>
      <c r="G18" s="209">
        <f>Bird3!M27</f>
        <v>3.121107830404265E-6</v>
      </c>
    </row>
    <row r="19" spans="1:7">
      <c r="A19" s="6" t="s">
        <v>73</v>
      </c>
      <c r="B19" s="209">
        <f>'Mam1'!M29</f>
        <v>7.5008024352830546E-6</v>
      </c>
      <c r="C19" s="209">
        <f>'Mam2'!M29</f>
        <v>2.4089771148757066E-5</v>
      </c>
      <c r="D19" s="209">
        <f>'Mam3'!M29</f>
        <v>1.1125994644299218E-5</v>
      </c>
      <c r="E19" s="209">
        <f>Bird1!M29</f>
        <v>4.1348793968129164E-6</v>
      </c>
      <c r="F19" s="209">
        <f>Bird2!M29</f>
        <v>2.7961773782432428E-5</v>
      </c>
      <c r="G19" s="209">
        <f>Bird3!M29</f>
        <v>6.47174772842875E-6</v>
      </c>
    </row>
    <row r="20" spans="1:7">
      <c r="A20" s="7" t="s">
        <v>74</v>
      </c>
      <c r="B20" s="209">
        <f>'Mam1'!M30</f>
        <v>5.2405410904198927E-6</v>
      </c>
      <c r="C20" s="209">
        <f>'Mam2'!M30</f>
        <v>6.5506859519871553E-6</v>
      </c>
      <c r="D20" s="209">
        <f>'Mam3'!M30</f>
        <v>4.9128945301201223E-6</v>
      </c>
      <c r="E20" s="209">
        <f>Bird1!M30</f>
        <v>1.7381122077337326E-6</v>
      </c>
      <c r="F20" s="209">
        <f>Bird2!M30</f>
        <v>1.3218020855578413E-5</v>
      </c>
      <c r="G20" s="209">
        <f>Bird3!M30</f>
        <v>6.363636363636364E-7</v>
      </c>
    </row>
    <row r="21" spans="1:7">
      <c r="A21" s="7"/>
    </row>
    <row r="22" spans="1:7">
      <c r="A22" s="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9B1B-4BB8-449E-85E4-6868DFD60AD2}">
  <sheetPr>
    <tabColor rgb="FFFF0000"/>
  </sheetPr>
  <dimension ref="A1:M28"/>
  <sheetViews>
    <sheetView view="pageBreakPreview" zoomScale="85" zoomScaleNormal="55" zoomScaleSheetLayoutView="85" workbookViewId="0">
      <selection activeCell="H17" sqref="H17"/>
    </sheetView>
  </sheetViews>
  <sheetFormatPr defaultColWidth="8.77734375" defaultRowHeight="14.4"/>
  <cols>
    <col min="1" max="1" width="75.21875" bestFit="1" customWidth="1"/>
    <col min="2" max="2" width="12.21875" bestFit="1" customWidth="1"/>
    <col min="3" max="3" width="18.77734375" style="152" bestFit="1" customWidth="1"/>
    <col min="4" max="4" width="5.44140625" bestFit="1" customWidth="1"/>
    <col min="5" max="5" width="6.21875" style="152" bestFit="1" customWidth="1"/>
    <col min="6" max="6" width="21" customWidth="1"/>
    <col min="7" max="7" width="12" bestFit="1" customWidth="1"/>
    <col min="8" max="8" width="12.77734375" bestFit="1" customWidth="1"/>
    <col min="9" max="9" width="24.21875" bestFit="1" customWidth="1"/>
    <col min="10" max="10" width="13.21875" bestFit="1" customWidth="1"/>
    <col min="11" max="11" width="24.21875" bestFit="1" customWidth="1"/>
    <col min="12" max="12" width="29.77734375" style="158" bestFit="1" customWidth="1"/>
  </cols>
  <sheetData>
    <row r="1" spans="1:13" ht="20.399999999999999" thickBot="1">
      <c r="A1" s="502" t="s">
        <v>194</v>
      </c>
      <c r="B1" s="502"/>
      <c r="C1" s="502"/>
      <c r="D1" s="502"/>
      <c r="E1" s="502"/>
      <c r="I1" s="501" t="s">
        <v>220</v>
      </c>
      <c r="J1" s="501"/>
      <c r="K1" s="501"/>
      <c r="L1" s="501"/>
    </row>
    <row r="2" spans="1:13" ht="18.600000000000001" thickTop="1" thickBot="1">
      <c r="A2" s="500" t="s">
        <v>195</v>
      </c>
      <c r="B2" s="500"/>
      <c r="C2" s="500"/>
      <c r="D2" s="500"/>
      <c r="E2" s="500"/>
      <c r="I2" s="14" t="s">
        <v>214</v>
      </c>
      <c r="J2" s="14" t="s">
        <v>215</v>
      </c>
      <c r="K2" s="14" t="s">
        <v>315</v>
      </c>
      <c r="L2" s="155" t="s">
        <v>353</v>
      </c>
      <c r="M2" s="14" t="s">
        <v>215</v>
      </c>
    </row>
    <row r="3" spans="1:13" s="149" customFormat="1" ht="15.6" thickTop="1" thickBot="1">
      <c r="A3" s="148" t="s">
        <v>196</v>
      </c>
      <c r="B3" s="148" t="s">
        <v>197</v>
      </c>
      <c r="C3" s="148" t="s">
        <v>198</v>
      </c>
      <c r="D3" s="148" t="s">
        <v>199</v>
      </c>
      <c r="E3" s="148" t="s">
        <v>200</v>
      </c>
      <c r="F3"/>
      <c r="G3" t="s">
        <v>201</v>
      </c>
      <c r="I3" s="14" t="s">
        <v>214</v>
      </c>
      <c r="J3" s="14" t="s">
        <v>215</v>
      </c>
      <c r="K3" s="14" t="s">
        <v>343</v>
      </c>
      <c r="L3" s="155" t="s">
        <v>354</v>
      </c>
      <c r="M3" s="14" t="s">
        <v>215</v>
      </c>
    </row>
    <row r="4" spans="1:13">
      <c r="A4" t="s">
        <v>401</v>
      </c>
      <c r="B4" t="s">
        <v>202</v>
      </c>
      <c r="C4" t="s">
        <v>203</v>
      </c>
      <c r="D4">
        <v>0.373</v>
      </c>
      <c r="E4">
        <v>0.622</v>
      </c>
      <c r="G4">
        <v>1000</v>
      </c>
      <c r="I4" s="14" t="s">
        <v>214</v>
      </c>
      <c r="J4" s="14" t="s">
        <v>215</v>
      </c>
      <c r="K4" s="14" t="s">
        <v>325</v>
      </c>
      <c r="L4" s="155" t="s">
        <v>363</v>
      </c>
      <c r="M4" s="14" t="s">
        <v>215</v>
      </c>
    </row>
    <row r="5" spans="1:13">
      <c r="A5" t="s">
        <v>204</v>
      </c>
      <c r="B5" t="s">
        <v>202</v>
      </c>
      <c r="C5" t="s">
        <v>203</v>
      </c>
      <c r="D5">
        <v>0.432</v>
      </c>
      <c r="E5">
        <v>0.67800000000000005</v>
      </c>
      <c r="I5" s="24" t="s">
        <v>214</v>
      </c>
      <c r="J5" s="24" t="s">
        <v>327</v>
      </c>
      <c r="K5" s="24" t="s">
        <v>345</v>
      </c>
      <c r="L5" s="155" t="s">
        <v>359</v>
      </c>
      <c r="M5" s="14" t="s">
        <v>327</v>
      </c>
    </row>
    <row r="6" spans="1:13">
      <c r="A6" t="s">
        <v>366</v>
      </c>
      <c r="B6" t="s">
        <v>202</v>
      </c>
      <c r="C6" t="s">
        <v>203</v>
      </c>
      <c r="D6">
        <v>0.33200000000000002</v>
      </c>
      <c r="E6">
        <v>0.77400000000000002</v>
      </c>
      <c r="I6" s="14" t="s">
        <v>214</v>
      </c>
      <c r="J6" s="14" t="s">
        <v>327</v>
      </c>
      <c r="K6" s="14" t="s">
        <v>335</v>
      </c>
      <c r="L6" s="155" t="s">
        <v>361</v>
      </c>
      <c r="M6" s="14" t="s">
        <v>327</v>
      </c>
    </row>
    <row r="7" spans="1:13">
      <c r="A7" t="s">
        <v>205</v>
      </c>
      <c r="B7" t="s">
        <v>202</v>
      </c>
      <c r="C7" t="s">
        <v>203</v>
      </c>
      <c r="D7">
        <v>0.85899999999999999</v>
      </c>
      <c r="E7">
        <v>0.628</v>
      </c>
      <c r="I7" s="14" t="s">
        <v>214</v>
      </c>
      <c r="J7" s="345" t="s">
        <v>327</v>
      </c>
      <c r="K7" s="345" t="s">
        <v>506</v>
      </c>
      <c r="L7" s="155" t="s">
        <v>507</v>
      </c>
      <c r="M7" s="345" t="s">
        <v>327</v>
      </c>
    </row>
    <row r="8" spans="1:13" ht="18" thickBot="1">
      <c r="A8" s="500" t="s">
        <v>206</v>
      </c>
      <c r="B8" s="500"/>
      <c r="C8" s="500"/>
      <c r="D8" s="500"/>
      <c r="E8" s="500"/>
      <c r="I8" s="14" t="s">
        <v>214</v>
      </c>
      <c r="J8" s="14" t="s">
        <v>219</v>
      </c>
      <c r="K8" s="14" t="s">
        <v>328</v>
      </c>
      <c r="L8" s="155" t="s">
        <v>360</v>
      </c>
      <c r="M8" s="14" t="s">
        <v>219</v>
      </c>
    </row>
    <row r="9" spans="1:13" ht="18.600000000000001" thickTop="1" thickBot="1">
      <c r="A9" s="312"/>
      <c r="B9" s="312"/>
      <c r="C9" s="312"/>
      <c r="D9" s="312"/>
      <c r="E9" s="312"/>
      <c r="I9" s="14" t="s">
        <v>214</v>
      </c>
      <c r="J9" s="14" t="s">
        <v>219</v>
      </c>
      <c r="K9" s="219" t="s">
        <v>344</v>
      </c>
      <c r="L9" s="155" t="s">
        <v>364</v>
      </c>
      <c r="M9" s="14" t="s">
        <v>219</v>
      </c>
    </row>
    <row r="10" spans="1:13" ht="15.6" thickTop="1" thickBot="1">
      <c r="A10" s="148" t="s">
        <v>196</v>
      </c>
      <c r="B10" s="148" t="s">
        <v>197</v>
      </c>
      <c r="C10" s="148" t="s">
        <v>198</v>
      </c>
      <c r="D10" s="148" t="s">
        <v>199</v>
      </c>
      <c r="E10" s="148" t="s">
        <v>200</v>
      </c>
      <c r="H10" s="150"/>
      <c r="I10" s="14" t="s">
        <v>332</v>
      </c>
      <c r="J10" s="14" t="s">
        <v>215</v>
      </c>
      <c r="K10" s="233" t="s">
        <v>348</v>
      </c>
      <c r="L10" s="157" t="s">
        <v>355</v>
      </c>
    </row>
    <row r="11" spans="1:13">
      <c r="A11" t="s">
        <v>401</v>
      </c>
      <c r="B11" t="s">
        <v>207</v>
      </c>
      <c r="C11" s="151" t="s">
        <v>203</v>
      </c>
      <c r="D11" s="151">
        <v>1.1299999999999999</v>
      </c>
      <c r="E11" s="151">
        <v>0.622</v>
      </c>
      <c r="G11" s="151"/>
      <c r="I11" s="14" t="s">
        <v>332</v>
      </c>
      <c r="J11" s="14" t="s">
        <v>215</v>
      </c>
      <c r="K11" s="14" t="s">
        <v>337</v>
      </c>
      <c r="L11" s="233" t="s">
        <v>356</v>
      </c>
    </row>
    <row r="12" spans="1:13">
      <c r="A12" t="s">
        <v>204</v>
      </c>
      <c r="B12" t="s">
        <v>207</v>
      </c>
      <c r="C12" t="s">
        <v>203</v>
      </c>
      <c r="D12">
        <v>1.3460000000000001</v>
      </c>
      <c r="E12">
        <v>0.67800000000000005</v>
      </c>
      <c r="I12" s="233" t="s">
        <v>332</v>
      </c>
      <c r="J12" s="233" t="s">
        <v>215</v>
      </c>
      <c r="K12" s="233" t="s">
        <v>400</v>
      </c>
      <c r="L12" s="158" t="s">
        <v>402</v>
      </c>
    </row>
    <row r="13" spans="1:13">
      <c r="A13" t="s">
        <v>366</v>
      </c>
      <c r="B13" t="s">
        <v>207</v>
      </c>
      <c r="C13" t="s">
        <v>203</v>
      </c>
      <c r="D13">
        <v>0.58799999999999997</v>
      </c>
      <c r="E13">
        <v>0.86399999999999999</v>
      </c>
      <c r="I13" s="14" t="s">
        <v>332</v>
      </c>
      <c r="J13" s="14" t="s">
        <v>327</v>
      </c>
      <c r="K13" s="14" t="s">
        <v>338</v>
      </c>
      <c r="L13" s="155" t="s">
        <v>362</v>
      </c>
      <c r="M13" s="14"/>
    </row>
    <row r="14" spans="1:13">
      <c r="A14" t="s">
        <v>205</v>
      </c>
      <c r="B14" t="s">
        <v>207</v>
      </c>
      <c r="C14" t="s">
        <v>203</v>
      </c>
      <c r="D14">
        <v>2.6059999999999999</v>
      </c>
      <c r="E14">
        <v>0.628</v>
      </c>
      <c r="I14" s="14" t="s">
        <v>332</v>
      </c>
      <c r="J14" s="14" t="s">
        <v>327</v>
      </c>
      <c r="K14" s="14" t="s">
        <v>342</v>
      </c>
      <c r="L14" s="155" t="s">
        <v>357</v>
      </c>
    </row>
    <row r="15" spans="1:13">
      <c r="I15" s="14" t="s">
        <v>332</v>
      </c>
      <c r="J15" s="201" t="s">
        <v>219</v>
      </c>
      <c r="K15" s="364" t="s">
        <v>528</v>
      </c>
      <c r="L15" s="156" t="s">
        <v>365</v>
      </c>
      <c r="M15" s="14"/>
    </row>
    <row r="16" spans="1:13">
      <c r="I16" s="14" t="s">
        <v>332</v>
      </c>
      <c r="J16" s="201" t="s">
        <v>219</v>
      </c>
      <c r="K16" s="14" t="s">
        <v>340</v>
      </c>
      <c r="L16" s="155" t="s">
        <v>358</v>
      </c>
      <c r="M16" s="14"/>
    </row>
    <row r="17" spans="1:13" ht="20.399999999999999" thickBot="1">
      <c r="A17" s="502" t="s">
        <v>208</v>
      </c>
      <c r="B17" s="502"/>
      <c r="C17" s="502"/>
      <c r="D17" s="502"/>
      <c r="E17" s="502"/>
      <c r="M17" s="14"/>
    </row>
    <row r="18" spans="1:13" ht="18.600000000000001" thickTop="1" thickBot="1">
      <c r="A18" s="500" t="s">
        <v>195</v>
      </c>
      <c r="B18" s="500"/>
      <c r="C18" s="500"/>
      <c r="D18" s="500"/>
      <c r="E18" s="500"/>
    </row>
    <row r="19" spans="1:13" ht="15.6" thickTop="1" thickBot="1">
      <c r="A19" s="148" t="s">
        <v>196</v>
      </c>
      <c r="B19" s="148" t="s">
        <v>197</v>
      </c>
      <c r="C19" s="148" t="s">
        <v>198</v>
      </c>
      <c r="D19" s="148" t="s">
        <v>199</v>
      </c>
      <c r="E19" s="148" t="s">
        <v>200</v>
      </c>
      <c r="M19" s="14"/>
    </row>
    <row r="20" spans="1:13">
      <c r="A20" t="s">
        <v>401</v>
      </c>
      <c r="B20" t="s">
        <v>202</v>
      </c>
      <c r="C20" t="s">
        <v>203</v>
      </c>
      <c r="D20">
        <v>0.54</v>
      </c>
      <c r="E20">
        <v>0.70499999999999996</v>
      </c>
      <c r="M20" s="14"/>
    </row>
    <row r="21" spans="1:13">
      <c r="A21" t="s">
        <v>204</v>
      </c>
      <c r="B21" t="s">
        <v>202</v>
      </c>
      <c r="C21" t="s">
        <v>203</v>
      </c>
      <c r="D21">
        <v>0.67</v>
      </c>
      <c r="E21">
        <v>0.627</v>
      </c>
      <c r="I21" s="14"/>
      <c r="J21" s="14"/>
      <c r="K21" s="14"/>
      <c r="L21" s="155"/>
      <c r="M21" s="14"/>
    </row>
    <row r="22" spans="1:13">
      <c r="A22" t="s">
        <v>367</v>
      </c>
      <c r="B22" t="s">
        <v>202</v>
      </c>
      <c r="C22" t="s">
        <v>203</v>
      </c>
      <c r="D22" s="341">
        <v>8.7999999999999995E-2</v>
      </c>
      <c r="E22">
        <v>0.89100000000000001</v>
      </c>
      <c r="I22" s="14"/>
      <c r="J22" s="14"/>
      <c r="K22" s="14"/>
      <c r="L22" s="155"/>
      <c r="M22" s="14"/>
    </row>
    <row r="23" spans="1:13">
      <c r="A23" t="s">
        <v>368</v>
      </c>
      <c r="B23" t="s">
        <v>202</v>
      </c>
      <c r="C23" t="s">
        <v>203</v>
      </c>
      <c r="D23">
        <v>0.63</v>
      </c>
      <c r="E23">
        <v>0.68300000000000005</v>
      </c>
      <c r="I23" s="14"/>
      <c r="J23" s="14"/>
      <c r="K23" s="14"/>
      <c r="L23" s="155"/>
      <c r="M23" s="14"/>
    </row>
    <row r="24" spans="1:13" ht="18" thickBot="1">
      <c r="A24" s="500" t="s">
        <v>206</v>
      </c>
      <c r="B24" s="500"/>
      <c r="C24" s="500"/>
      <c r="D24" s="500"/>
      <c r="E24" s="500"/>
      <c r="I24" s="14"/>
      <c r="J24" s="14"/>
      <c r="K24" s="14"/>
      <c r="L24" s="155"/>
      <c r="M24" s="14"/>
    </row>
    <row r="25" spans="1:13" ht="15.6" thickTop="1" thickBot="1">
      <c r="A25" s="148" t="s">
        <v>196</v>
      </c>
      <c r="B25" s="148" t="s">
        <v>197</v>
      </c>
      <c r="C25" s="148" t="s">
        <v>198</v>
      </c>
      <c r="D25" s="148" t="s">
        <v>199</v>
      </c>
      <c r="E25" s="148" t="s">
        <v>200</v>
      </c>
      <c r="I25" s="14"/>
      <c r="J25" s="201"/>
      <c r="K25" s="14"/>
      <c r="L25" s="155"/>
      <c r="M25" s="14"/>
    </row>
    <row r="26" spans="1:13">
      <c r="A26" t="s">
        <v>401</v>
      </c>
      <c r="B26" t="s">
        <v>207</v>
      </c>
      <c r="C26" s="151" t="s">
        <v>203</v>
      </c>
      <c r="D26" s="151">
        <v>1.633</v>
      </c>
      <c r="E26" s="151">
        <v>0.70499999999999996</v>
      </c>
      <c r="I26" s="14"/>
      <c r="J26" s="14"/>
      <c r="K26" s="204"/>
      <c r="L26" s="155"/>
      <c r="M26" s="14"/>
    </row>
    <row r="27" spans="1:13">
      <c r="A27" t="s">
        <v>204</v>
      </c>
      <c r="B27" t="s">
        <v>207</v>
      </c>
      <c r="C27" s="151" t="s">
        <v>203</v>
      </c>
      <c r="D27" s="151">
        <v>2.0939999999999999</v>
      </c>
      <c r="E27" s="151">
        <v>0.627</v>
      </c>
      <c r="I27" s="14"/>
      <c r="J27" s="14"/>
      <c r="K27" s="14"/>
      <c r="L27" s="155"/>
      <c r="M27" s="14"/>
    </row>
    <row r="28" spans="1:13">
      <c r="A28" t="s">
        <v>368</v>
      </c>
      <c r="B28" t="s">
        <v>207</v>
      </c>
      <c r="C28" s="151" t="s">
        <v>203</v>
      </c>
      <c r="D28" s="151">
        <v>2.4380000000000002</v>
      </c>
      <c r="E28" s="151">
        <v>0.60699999999999998</v>
      </c>
    </row>
  </sheetData>
  <sortState xmlns:xlrd2="http://schemas.microsoft.com/office/spreadsheetml/2017/richdata2" ref="I2:M16">
    <sortCondition ref="I2:I16"/>
    <sortCondition ref="J2:J16"/>
  </sortState>
  <mergeCells count="7">
    <mergeCell ref="A18:E18"/>
    <mergeCell ref="A24:E24"/>
    <mergeCell ref="I1:L1"/>
    <mergeCell ref="A1:E1"/>
    <mergeCell ref="A2:E2"/>
    <mergeCell ref="A8:E8"/>
    <mergeCell ref="A17:E17"/>
  </mergeCells>
  <pageMargins left="0.7" right="0.7" top="0.75" bottom="0.75" header="0.3" footer="0.3"/>
  <pageSetup scale="32" orientation="portrait" horizontalDpi="4294967295" verticalDpi="4294967295" r:id="rId1"/>
  <colBreaks count="2" manualBreakCount="2">
    <brk id="5" max="27" man="1"/>
    <brk id="15"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9899-8BBA-41EF-BF41-7B74298AAC32}">
  <sheetPr>
    <tabColor theme="0"/>
    <pageSetUpPr fitToPage="1"/>
  </sheetPr>
  <dimension ref="B2:C49"/>
  <sheetViews>
    <sheetView view="pageBreakPreview" zoomScale="70" zoomScaleNormal="100" zoomScaleSheetLayoutView="70" zoomScalePageLayoutView="40" workbookViewId="0">
      <selection activeCell="B3" sqref="B3"/>
    </sheetView>
  </sheetViews>
  <sheetFormatPr defaultColWidth="8.77734375" defaultRowHeight="14.4"/>
  <cols>
    <col min="1" max="1" width="2.21875" customWidth="1"/>
    <col min="2" max="2" width="19.77734375" bestFit="1" customWidth="1"/>
    <col min="3" max="3" width="60.44140625" bestFit="1" customWidth="1"/>
  </cols>
  <sheetData>
    <row r="2" spans="2:3">
      <c r="B2" s="118" t="s">
        <v>54</v>
      </c>
      <c r="C2" s="76"/>
    </row>
    <row r="3" spans="2:3">
      <c r="B3" s="121" t="s">
        <v>253</v>
      </c>
      <c r="C3" s="121" t="s">
        <v>254</v>
      </c>
    </row>
    <row r="4" spans="2:3">
      <c r="B4" s="33" t="s">
        <v>224</v>
      </c>
      <c r="C4" s="27" t="s">
        <v>232</v>
      </c>
    </row>
    <row r="5" spans="2:3">
      <c r="B5" s="33" t="s">
        <v>44</v>
      </c>
      <c r="C5" s="27" t="s">
        <v>233</v>
      </c>
    </row>
    <row r="6" spans="2:3">
      <c r="B6" s="33" t="s">
        <v>225</v>
      </c>
      <c r="C6" s="27" t="s">
        <v>234</v>
      </c>
    </row>
    <row r="7" spans="2:3">
      <c r="B7" s="160" t="s">
        <v>59</v>
      </c>
      <c r="C7" s="116" t="s">
        <v>235</v>
      </c>
    </row>
    <row r="8" spans="2:3">
      <c r="B8" s="33" t="s">
        <v>226</v>
      </c>
      <c r="C8" s="27" t="s">
        <v>236</v>
      </c>
    </row>
    <row r="9" spans="2:3">
      <c r="B9" s="33" t="s">
        <v>64</v>
      </c>
      <c r="C9" s="27" t="s">
        <v>237</v>
      </c>
    </row>
    <row r="10" spans="2:3">
      <c r="B10" s="33" t="s">
        <v>227</v>
      </c>
      <c r="C10" s="27" t="s">
        <v>238</v>
      </c>
    </row>
    <row r="11" spans="2:3">
      <c r="B11" s="33" t="s">
        <v>71</v>
      </c>
      <c r="C11" s="27" t="s">
        <v>239</v>
      </c>
    </row>
    <row r="12" spans="2:3">
      <c r="B12" s="33" t="s">
        <v>62</v>
      </c>
      <c r="C12" s="27" t="s">
        <v>240</v>
      </c>
    </row>
    <row r="13" spans="2:3">
      <c r="B13" s="33" t="s">
        <v>61</v>
      </c>
      <c r="C13" s="27" t="s">
        <v>241</v>
      </c>
    </row>
    <row r="14" spans="2:3">
      <c r="B14" s="33" t="s">
        <v>228</v>
      </c>
      <c r="C14" s="27" t="s">
        <v>242</v>
      </c>
    </row>
    <row r="15" spans="2:3">
      <c r="B15" s="33" t="s">
        <v>63</v>
      </c>
      <c r="C15" s="27" t="s">
        <v>243</v>
      </c>
    </row>
    <row r="16" spans="2:3">
      <c r="B16" s="33" t="s">
        <v>38</v>
      </c>
      <c r="C16" s="27" t="s">
        <v>244</v>
      </c>
    </row>
    <row r="17" spans="2:3">
      <c r="B17" s="33" t="s">
        <v>37</v>
      </c>
      <c r="C17" s="27" t="s">
        <v>245</v>
      </c>
    </row>
    <row r="18" spans="2:3">
      <c r="B18" s="33" t="s">
        <v>72</v>
      </c>
      <c r="C18" s="27" t="s">
        <v>246</v>
      </c>
    </row>
    <row r="19" spans="2:3">
      <c r="B19" s="33" t="s">
        <v>60</v>
      </c>
      <c r="C19" s="27" t="s">
        <v>247</v>
      </c>
    </row>
    <row r="20" spans="2:3">
      <c r="B20" s="33" t="s">
        <v>229</v>
      </c>
      <c r="C20" s="27" t="s">
        <v>248</v>
      </c>
    </row>
    <row r="21" spans="2:3">
      <c r="B21" s="33" t="s">
        <v>230</v>
      </c>
      <c r="C21" s="27" t="s">
        <v>249</v>
      </c>
    </row>
    <row r="22" spans="2:3">
      <c r="B22" s="33" t="s">
        <v>231</v>
      </c>
      <c r="C22" s="27" t="s">
        <v>250</v>
      </c>
    </row>
    <row r="23" spans="2:3">
      <c r="B23" s="33" t="s">
        <v>73</v>
      </c>
      <c r="C23" s="27" t="s">
        <v>251</v>
      </c>
    </row>
    <row r="24" spans="2:3">
      <c r="B24" s="33" t="s">
        <v>74</v>
      </c>
      <c r="C24" s="27" t="s">
        <v>252</v>
      </c>
    </row>
    <row r="25" spans="2:3">
      <c r="B25" s="119" t="s">
        <v>258</v>
      </c>
      <c r="C25" s="120" t="s">
        <v>51</v>
      </c>
    </row>
    <row r="26" spans="2:3">
      <c r="B26" s="86" t="s">
        <v>5</v>
      </c>
      <c r="C26" s="87" t="s">
        <v>6</v>
      </c>
    </row>
    <row r="27" spans="2:3" ht="15.6">
      <c r="B27" s="23" t="s">
        <v>133</v>
      </c>
      <c r="C27" s="88" t="s">
        <v>27</v>
      </c>
    </row>
    <row r="28" spans="2:3" ht="15.6">
      <c r="B28" s="86" t="s">
        <v>132</v>
      </c>
      <c r="C28" s="87" t="s">
        <v>39</v>
      </c>
    </row>
    <row r="29" spans="2:3" ht="15.6">
      <c r="B29" s="86" t="s">
        <v>92</v>
      </c>
      <c r="C29" s="87" t="s">
        <v>9</v>
      </c>
    </row>
    <row r="30" spans="2:3" ht="15.6">
      <c r="B30" s="223" t="s">
        <v>308</v>
      </c>
      <c r="C30" s="224" t="s">
        <v>310</v>
      </c>
    </row>
    <row r="31" spans="2:3" ht="15.6">
      <c r="B31" s="223" t="s">
        <v>309</v>
      </c>
      <c r="C31" s="224" t="s">
        <v>311</v>
      </c>
    </row>
    <row r="32" spans="2:3">
      <c r="B32" s="86" t="s">
        <v>10</v>
      </c>
      <c r="C32" s="87" t="s">
        <v>11</v>
      </c>
    </row>
    <row r="33" spans="2:3">
      <c r="B33" s="86" t="s">
        <v>16</v>
      </c>
      <c r="C33" s="87" t="s">
        <v>13</v>
      </c>
    </row>
    <row r="34" spans="2:3">
      <c r="B34" s="86" t="s">
        <v>14</v>
      </c>
      <c r="C34" s="87" t="s">
        <v>25</v>
      </c>
    </row>
    <row r="35" spans="2:3">
      <c r="B35" s="33" t="s">
        <v>141</v>
      </c>
      <c r="C35" s="27" t="s">
        <v>56</v>
      </c>
    </row>
    <row r="36" spans="2:3">
      <c r="B36" s="33" t="s">
        <v>142</v>
      </c>
      <c r="C36" s="27" t="s">
        <v>144</v>
      </c>
    </row>
    <row r="37" spans="2:3">
      <c r="B37" s="33" t="s">
        <v>143</v>
      </c>
      <c r="C37" s="27" t="s">
        <v>57</v>
      </c>
    </row>
    <row r="38" spans="2:3">
      <c r="B38" s="33" t="s">
        <v>29</v>
      </c>
      <c r="C38" s="27" t="s">
        <v>145</v>
      </c>
    </row>
    <row r="39" spans="2:3">
      <c r="B39" s="33" t="s">
        <v>30</v>
      </c>
      <c r="C39" s="27" t="s">
        <v>146</v>
      </c>
    </row>
    <row r="40" spans="2:3">
      <c r="B40" s="33" t="s">
        <v>35</v>
      </c>
      <c r="C40" s="27" t="s">
        <v>147</v>
      </c>
    </row>
    <row r="41" spans="2:3">
      <c r="B41" s="39" t="s">
        <v>149</v>
      </c>
      <c r="C41" s="27" t="s">
        <v>148</v>
      </c>
    </row>
    <row r="42" spans="2:3">
      <c r="B42" s="225" t="s">
        <v>312</v>
      </c>
      <c r="C42" s="226" t="s">
        <v>313</v>
      </c>
    </row>
    <row r="43" spans="2:3">
      <c r="B43" s="39" t="s">
        <v>150</v>
      </c>
      <c r="C43" s="27" t="s">
        <v>151</v>
      </c>
    </row>
    <row r="44" spans="2:3">
      <c r="B44" s="39" t="s">
        <v>152</v>
      </c>
      <c r="C44" s="27" t="s">
        <v>153</v>
      </c>
    </row>
    <row r="45" spans="2:3">
      <c r="B45" s="245" t="s">
        <v>409</v>
      </c>
      <c r="C45" s="246" t="s">
        <v>410</v>
      </c>
    </row>
    <row r="46" spans="2:3">
      <c r="B46" s="227" t="s">
        <v>412</v>
      </c>
      <c r="C46" s="226" t="s">
        <v>413</v>
      </c>
    </row>
    <row r="47" spans="2:3">
      <c r="B47" s="227" t="s">
        <v>314</v>
      </c>
      <c r="C47" s="27" t="s">
        <v>257</v>
      </c>
    </row>
    <row r="48" spans="2:3">
      <c r="B48" s="35"/>
      <c r="C48" s="35"/>
    </row>
    <row r="49" spans="2:3">
      <c r="B49" s="35"/>
      <c r="C49" s="35"/>
    </row>
  </sheetData>
  <pageMargins left="0.7" right="0.7" top="0.75" bottom="0.75" header="0.3" footer="0.3"/>
  <pageSetup orientation="portrait" horizontalDpi="300" verticalDpi="300"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B1:L68"/>
  <sheetViews>
    <sheetView view="pageBreakPreview" zoomScaleNormal="100" zoomScaleSheetLayoutView="100" zoomScalePageLayoutView="85" workbookViewId="0">
      <selection activeCell="I4" sqref="I4"/>
    </sheetView>
  </sheetViews>
  <sheetFormatPr defaultColWidth="9.21875" defaultRowHeight="13.2"/>
  <cols>
    <col min="1" max="1" width="2.21875" style="14" customWidth="1"/>
    <col min="2" max="2" width="17.77734375" style="14" customWidth="1"/>
    <col min="3" max="3" width="34.21875" style="14" customWidth="1"/>
    <col min="4" max="4" width="7.77734375" style="14" customWidth="1"/>
    <col min="5" max="5" width="31.77734375" style="14" customWidth="1"/>
    <col min="6" max="11" width="20.77734375" style="14" customWidth="1"/>
    <col min="12" max="12" width="1.44140625" style="14" customWidth="1"/>
    <col min="13" max="16384" width="9.21875" style="14"/>
  </cols>
  <sheetData>
    <row r="1" spans="2:12" ht="8.25" customHeight="1"/>
    <row r="2" spans="2:12">
      <c r="B2" s="15" t="str">
        <f>Site</f>
        <v>Test Site #1</v>
      </c>
      <c r="E2" s="24"/>
      <c r="F2" s="24"/>
      <c r="G2" s="24"/>
      <c r="H2" s="24"/>
    </row>
    <row r="3" spans="2:12" ht="13.8" thickBot="1">
      <c r="B3" s="268" t="s">
        <v>55</v>
      </c>
      <c r="C3" s="211">
        <v>10</v>
      </c>
      <c r="E3" s="24"/>
    </row>
    <row r="4" spans="2:12" ht="13.8" thickBot="1">
      <c r="B4" s="15" t="str">
        <f>Title1</f>
        <v>Table 1: Exposure Factors for Selected Receptors</v>
      </c>
      <c r="E4" s="270" t="s">
        <v>454</v>
      </c>
      <c r="F4" s="271"/>
      <c r="G4" s="269"/>
      <c r="I4" s="362" t="s">
        <v>526</v>
      </c>
    </row>
    <row r="5" spans="2:12" ht="14.4">
      <c r="B5" s="15"/>
      <c r="E5" s="270"/>
      <c r="F5" s="271"/>
      <c r="G5" s="269"/>
      <c r="I5"/>
    </row>
    <row r="6" spans="2:12" ht="20.25" customHeight="1">
      <c r="B6" s="466" t="s">
        <v>3</v>
      </c>
      <c r="C6" s="466" t="s">
        <v>4</v>
      </c>
      <c r="D6" s="466"/>
      <c r="E6" s="464" t="s">
        <v>2</v>
      </c>
      <c r="F6" s="464" t="s">
        <v>34</v>
      </c>
      <c r="G6" s="464"/>
      <c r="H6" s="464"/>
      <c r="I6" s="464" t="s">
        <v>471</v>
      </c>
      <c r="J6" s="464"/>
      <c r="K6" s="464"/>
    </row>
    <row r="7" spans="2:12" ht="26.4">
      <c r="B7" s="466"/>
      <c r="C7" s="466"/>
      <c r="D7" s="466"/>
      <c r="E7" s="464"/>
      <c r="F7" s="372" t="s">
        <v>23</v>
      </c>
      <c r="G7" s="373" t="s">
        <v>386</v>
      </c>
      <c r="H7" s="373" t="s">
        <v>470</v>
      </c>
      <c r="I7" s="372" t="s">
        <v>24</v>
      </c>
      <c r="J7" s="373" t="s">
        <v>387</v>
      </c>
      <c r="K7" s="373" t="s">
        <v>385</v>
      </c>
    </row>
    <row r="8" spans="2:12" s="17" customFormat="1" ht="26.4">
      <c r="B8" s="466"/>
      <c r="C8" s="466"/>
      <c r="D8" s="466"/>
      <c r="E8" s="464"/>
      <c r="F8" s="374" t="s">
        <v>315</v>
      </c>
      <c r="G8" s="374" t="s">
        <v>506</v>
      </c>
      <c r="H8" s="374" t="s">
        <v>344</v>
      </c>
      <c r="I8" s="374" t="s">
        <v>400</v>
      </c>
      <c r="J8" s="374" t="s">
        <v>338</v>
      </c>
      <c r="K8" s="374" t="s">
        <v>528</v>
      </c>
      <c r="L8" s="14"/>
    </row>
    <row r="9" spans="2:12" ht="26.4">
      <c r="B9" s="466"/>
      <c r="C9" s="466"/>
      <c r="D9" s="466"/>
      <c r="E9" s="464"/>
      <c r="F9" s="375" t="str">
        <f>VLOOKUP(Bird1,'Nagy FIR variables'!$K$2:$L$27,2,FALSE)</f>
        <v>Lagopus lagopus</v>
      </c>
      <c r="G9" s="375" t="str">
        <f>VLOOKUP(Bird2,'Nagy FIR variables'!$K$2:$L$27,2,FALSE)</f>
        <v>Scolopax minor</v>
      </c>
      <c r="H9" s="375" t="str">
        <f>VLOOKUP(Bird3,'Nagy FIR variables'!$K$2:$L$27,2,FALSE)</f>
        <v>Aphelocoma coerulescens</v>
      </c>
      <c r="I9" s="375" t="str">
        <f>VLOOKUP(Mam_1,'Nagy FIR variables'!$K$2:$L$16,2,FALSE)</f>
        <v>Sylvilagus floridanus</v>
      </c>
      <c r="J9" s="375" t="str">
        <f>VLOOKUP(Mam_2,'Nagy FIR variables'!$K$2:$L$27,2,FALSE)</f>
        <v xml:space="preserve">Blarina brevicauda </v>
      </c>
      <c r="K9" s="375" t="str">
        <f>VLOOKUP(Mam_3,'Nagy FIR variables'!$K$2:$L$27,2,FALSE)</f>
        <v>Peromyscus leucopus easti</v>
      </c>
      <c r="L9" s="9"/>
    </row>
    <row r="10" spans="2:12" ht="20.100000000000001" customHeight="1">
      <c r="B10" s="86" t="s">
        <v>5</v>
      </c>
      <c r="C10" s="223" t="s">
        <v>6</v>
      </c>
      <c r="D10" s="376"/>
      <c r="E10" s="275" t="s">
        <v>26</v>
      </c>
      <c r="F10" s="244">
        <f>VLOOKUP(CONCATENATE(Bird1,"_",B10),'EF Lookup'!F:G,2, FALSE)</f>
        <v>0.60099999999999998</v>
      </c>
      <c r="G10" s="244">
        <f>VLOOKUP(CONCATENATE(Bird2,"_",$B10),'EF Lookup'!$F:$G,2, FALSE)</f>
        <v>0.17599999999999999</v>
      </c>
      <c r="H10" s="244">
        <f>VLOOKUP(CONCATENATE(Bird3,"_",$B10),'EF Lookup'!$F:$G,2, FALSE)</f>
        <v>9.0999999999999998E-2</v>
      </c>
      <c r="I10" s="244">
        <f>VLOOKUP(CONCATENATE(Mam_1,"_",$B10),'EF Lookup'!$F:$G,2, FALSE)</f>
        <v>1.1299999999999999</v>
      </c>
      <c r="J10" s="244">
        <f>VLOOKUP(CONCATENATE(Mam_2,"_",$B10),'EF Lookup'!$F:$G,2, FALSE)</f>
        <v>1.4999999999999999E-2</v>
      </c>
      <c r="K10" s="244">
        <f>VLOOKUP(CONCATENATE(Mam_3,"_",$B10),'EF Lookup'!$F:$G,2, FALSE)</f>
        <v>3.3000000000000002E-2</v>
      </c>
      <c r="L10" s="18"/>
    </row>
    <row r="11" spans="2:12" s="24" customFormat="1" ht="20.100000000000001" customHeight="1">
      <c r="B11" s="23" t="s">
        <v>133</v>
      </c>
      <c r="C11" s="86" t="s">
        <v>27</v>
      </c>
      <c r="D11" s="377" t="s">
        <v>7</v>
      </c>
      <c r="E11" s="378" t="s">
        <v>8</v>
      </c>
      <c r="F11" s="244">
        <f>VLOOKUP(CONCATENATE(Bird1,"_",B11),'EF Lookup'!F:G,2, FALSE)</f>
        <v>2.6330543684797304E-2</v>
      </c>
      <c r="G11" s="244">
        <f>VLOOKUP(CONCATENATE(Bird2,"_",B11),'EF Lookup'!F:G,2, FALSE)</f>
        <v>2.0676650678671162E-2</v>
      </c>
      <c r="H11" s="244">
        <f>VLOOKUP(CONCATENATE(Bird3,"_",B11),'EF Lookup'!F:G,2, FALSE)</f>
        <v>1.3720369910684638E-2</v>
      </c>
      <c r="I11" s="244">
        <f>VLOOKUP(CONCATENATE(Mam_1,"_",$B11),'EF Lookup'!$F:$G,2, FALSE)</f>
        <v>7.6598594161499653E-2</v>
      </c>
      <c r="J11" s="244">
        <f>VLOOKUP(CONCATENATE(Mam_2,"_",$B11),'EF Lookup'!$F:$G,2, FALSE)</f>
        <v>2.7004287199919718E-3</v>
      </c>
      <c r="K11" s="244">
        <f>VLOOKUP(CONCATENATE(Mam_3,"_",$B11),'EF Lookup'!$F:$G,2, FALSE)</f>
        <v>4.9712759746982013E-3</v>
      </c>
      <c r="L11" s="58"/>
    </row>
    <row r="12" spans="2:12" ht="20.100000000000001" customHeight="1">
      <c r="B12" s="86" t="s">
        <v>132</v>
      </c>
      <c r="C12" s="86" t="s">
        <v>39</v>
      </c>
      <c r="D12" s="377" t="s">
        <v>58</v>
      </c>
      <c r="E12" s="275" t="s">
        <v>40</v>
      </c>
      <c r="F12" s="244">
        <f>VLOOKUP(CONCATENATE(Bird1,"_",B12),'EF Lookup'!F:G,2, FALSE)</f>
        <v>0.1156993639065534</v>
      </c>
      <c r="G12" s="244">
        <f>VLOOKUP(CONCATENATE(Bird2,"_",B12),'EF Lookup'!F:G,2, FALSE)</f>
        <v>6.2527723256055573E-2</v>
      </c>
      <c r="H12" s="244">
        <f>VLOOKUP(CONCATENATE(Bird3,"_",B12),'EF Lookup'!F:G,2, FALSE)</f>
        <v>3.7685286942949543E-2</v>
      </c>
      <c r="I12" s="244">
        <f>VLOOKUP(CONCATENATE(Mam_1,"_",$B12),'EF Lookup'!$F:$G,2, FALSE)</f>
        <v>0.25540953196953725</v>
      </c>
      <c r="J12" s="244">
        <f>VLOOKUP(CONCATENATE(Mam_2,"_",$B12),'EF Lookup'!$F:$G,2, FALSE)</f>
        <v>6.1026740420215414E-3</v>
      </c>
      <c r="K12" s="244">
        <f>VLOOKUP(CONCATENATE(Mam_3,"_",$B12),'EF Lookup'!$F:$G,2, FALSE)</f>
        <v>1.2060723751053539E-2</v>
      </c>
      <c r="L12" s="18"/>
    </row>
    <row r="13" spans="2:12" ht="20.100000000000001" customHeight="1">
      <c r="B13" s="86" t="s">
        <v>92</v>
      </c>
      <c r="C13" s="86" t="s">
        <v>9</v>
      </c>
      <c r="D13" s="376"/>
      <c r="E13" s="298" t="s">
        <v>43</v>
      </c>
      <c r="F13" s="83">
        <f>VLOOKUP(CONCATENATE(Bird1,"_",B13),'EF Lookup'!F:G,2, FALSE)</f>
        <v>0.93</v>
      </c>
      <c r="G13" s="83">
        <f>VLOOKUP(CONCATENATE(Bird2,"_",B13),'EF Lookup'!F:G,2, FALSE)</f>
        <v>0.1</v>
      </c>
      <c r="H13" s="83">
        <f>VLOOKUP(CONCATENATE(Bird3,"_",B13),'EF Lookup'!F:G,2, FALSE)</f>
        <v>0.4</v>
      </c>
      <c r="I13" s="83">
        <f>VLOOKUP(CONCATENATE(Mam_1,"_",$B13),'EF Lookup'!$F:$G,2, FALSE)</f>
        <v>1</v>
      </c>
      <c r="J13" s="83">
        <f>VLOOKUP(CONCATENATE(Mam_2,"_",$B13),'EF Lookup'!$F:$G,2, FALSE)</f>
        <v>5.3999999999999999E-2</v>
      </c>
      <c r="K13" s="83">
        <f>VLOOKUP(CONCATENATE(Mam_3,"_",$B13),'EF Lookup'!$F:$G,2, FALSE)</f>
        <v>0.8</v>
      </c>
      <c r="L13" s="16"/>
    </row>
    <row r="14" spans="2:12" ht="20.100000000000001" customHeight="1">
      <c r="B14" s="223" t="s">
        <v>308</v>
      </c>
      <c r="C14" s="223" t="s">
        <v>377</v>
      </c>
      <c r="D14" s="376"/>
      <c r="E14" s="298" t="s">
        <v>43</v>
      </c>
      <c r="F14" s="83">
        <f>VLOOKUP(CONCATENATE(Bird1,"_",B14),'EF Lookup'!F:G,2, FALSE)</f>
        <v>7.0000000000000007E-2</v>
      </c>
      <c r="G14" s="83">
        <f>VLOOKUP(CONCATENATE(Bird2,"_",B14),'EF Lookup'!F:G,2, FALSE)</f>
        <v>0.9</v>
      </c>
      <c r="H14" s="83">
        <f>VLOOKUP(CONCATENATE(Bird3,"_",B14),'EF Lookup'!F:G,2, FALSE)</f>
        <v>0.6</v>
      </c>
      <c r="I14" s="83">
        <f>VLOOKUP(CONCATENATE(Mam_1,"_",$B14),'EF Lookup'!$F:$G,2, FALSE)</f>
        <v>0</v>
      </c>
      <c r="J14" s="83">
        <f>VLOOKUP(CONCATENATE(Mam_2,"_",$B14),'EF Lookup'!$F:$G,2, FALSE)</f>
        <v>0.94599999999999995</v>
      </c>
      <c r="K14" s="83">
        <f>VLOOKUP(CONCATENATE(Mam_3,"_",$B14),'EF Lookup'!$F:$G,2, FALSE)</f>
        <v>0.2</v>
      </c>
      <c r="L14" s="18"/>
    </row>
    <row r="15" spans="2:12" ht="20.100000000000001" customHeight="1">
      <c r="B15" s="86" t="s">
        <v>93</v>
      </c>
      <c r="C15" s="223" t="s">
        <v>318</v>
      </c>
      <c r="D15" s="376"/>
      <c r="E15" s="298" t="s">
        <v>154</v>
      </c>
      <c r="F15" s="83">
        <f>VLOOKUP(CONCATENATE(Bird1,"_",B15),'EF Lookup'!F:G,2, FALSE)</f>
        <v>0.01</v>
      </c>
      <c r="G15" s="83">
        <f>VLOOKUP(CONCATENATE(Bird2,"_",B15),'EF Lookup'!F:G,2, FALSE)</f>
        <v>0.104</v>
      </c>
      <c r="H15" s="83">
        <f>VLOOKUP(CONCATENATE(Bird3,"_",B15),'EF Lookup'!F:G,2, FALSE)</f>
        <v>0</v>
      </c>
      <c r="I15" s="83">
        <f>VLOOKUP(CONCATENATE(Mam_1,"_",$B15),'EF Lookup'!$F:$G,2, FALSE)</f>
        <v>6.3E-2</v>
      </c>
      <c r="J15" s="83">
        <f>VLOOKUP(CONCATENATE(Mam_2,"_",$B15),'EF Lookup'!$F:$G,2, FALSE)</f>
        <v>2.4E-2</v>
      </c>
      <c r="K15" s="83">
        <f>VLOOKUP(CONCATENATE(Mam_3,"_",$B15),'EF Lookup'!$F:$G,2, FALSE)</f>
        <v>0.02</v>
      </c>
      <c r="L15" s="18"/>
    </row>
    <row r="16" spans="2:12" ht="20.100000000000001" customHeight="1">
      <c r="B16" s="86" t="s">
        <v>10</v>
      </c>
      <c r="C16" s="223" t="s">
        <v>11</v>
      </c>
      <c r="D16" s="376"/>
      <c r="E16" s="275" t="s">
        <v>12</v>
      </c>
      <c r="F16" s="83">
        <f>VLOOKUP(CONCATENATE(Bird1,"_",B16),'EF Lookup'!F:G,2, FALSE)</f>
        <v>9</v>
      </c>
      <c r="G16" s="83">
        <f>VLOOKUP(CONCATENATE(Bird2,"_",B16),'EF Lookup'!F:G,2, FALSE)</f>
        <v>7.66</v>
      </c>
      <c r="H16" s="83">
        <f>VLOOKUP(CONCATENATE(Bird3,"_",B16),'EF Lookup'!F:G,2, FALSE)</f>
        <v>22</v>
      </c>
      <c r="I16" s="83">
        <f>VLOOKUP(CONCATENATE(Mam_1,"_",$B16),'EF Lookup'!$F:$G,2, FALSE)</f>
        <v>7.4</v>
      </c>
      <c r="J16" s="83">
        <f>VLOOKUP(CONCATENATE(Mam_2,"_",$B16),'EF Lookup'!$F:$G,2, FALSE)</f>
        <v>0.96</v>
      </c>
      <c r="K16" s="83">
        <f>VLOOKUP(CONCATENATE(Mam_3,"_",$B16),'EF Lookup'!$F:$G,2, FALSE)</f>
        <v>0.15</v>
      </c>
      <c r="L16" s="18"/>
    </row>
    <row r="17" spans="2:12" ht="20.100000000000001" customHeight="1">
      <c r="B17" s="86" t="s">
        <v>14</v>
      </c>
      <c r="C17" s="86" t="s">
        <v>25</v>
      </c>
      <c r="D17" s="377" t="s">
        <v>378</v>
      </c>
      <c r="E17" s="275" t="s">
        <v>15</v>
      </c>
      <c r="F17" s="175">
        <f t="shared" ref="F17:I17" si="0">IF($C$3/F16&gt;1,1,$C$3/F16)</f>
        <v>1</v>
      </c>
      <c r="G17" s="175">
        <f t="shared" si="0"/>
        <v>1</v>
      </c>
      <c r="H17" s="175">
        <f t="shared" ref="H17" si="1">IF($C$3/H16&gt;1,1,$C$3/H16)</f>
        <v>0.45454545454545453</v>
      </c>
      <c r="I17" s="175">
        <f t="shared" si="0"/>
        <v>1</v>
      </c>
      <c r="J17" s="175">
        <f>IF($C$3/J16&gt;1,1,$C$3/J16)</f>
        <v>1</v>
      </c>
      <c r="K17" s="175">
        <f>IF($C$3/K16&gt;1,1,$C$3/K16)</f>
        <v>1</v>
      </c>
      <c r="L17" s="18"/>
    </row>
    <row r="18" spans="2:12" ht="18.75" customHeight="1">
      <c r="B18" s="223" t="s">
        <v>388</v>
      </c>
      <c r="C18" s="223" t="s">
        <v>389</v>
      </c>
      <c r="D18" s="223"/>
      <c r="E18" s="276" t="s">
        <v>390</v>
      </c>
      <c r="F18" s="244">
        <f>IF(ISBLANK(I4),"na",(VLOOKUP(CONCATENATE(Bird1,"_",B18),'EF Lookup'!F:G,2, FALSE)))</f>
        <v>7.8130000000000005E-2</v>
      </c>
      <c r="G18" s="244">
        <f>IF(ISBLANK(I4),"na",(VLOOKUP(CONCATENATE(Bird2,"_",B18),'EF Lookup'!F:G,2, FALSE)))</f>
        <v>1.7600000000000001E-2</v>
      </c>
      <c r="H18" s="244">
        <f>IF(ISBLANK(I4),"na",(VLOOKUP(CONCATENATE(Bird3,"_",B18),'EF Lookup'!F:G,2, FALSE)))</f>
        <v>1.2740000000000001E-2</v>
      </c>
      <c r="I18" s="244">
        <f>IF(ISBLANK(I4),"na",(VLOOKUP(CONCATENATE(Mam_1,"_",$B18),'EF Lookup'!$F:$G,2, FALSE)))</f>
        <v>0.10961</v>
      </c>
      <c r="J18" s="244">
        <f>IF(ISBLANK(I4),"na",(VLOOKUP(CONCATENATE(Mam_2,"_",$B18),'EF Lookup'!$F:$G,2, FALSE)))</f>
        <v>3.3449999999999999E-3</v>
      </c>
      <c r="K18" s="244">
        <f>IF(ISBLANK(I4),"na",(VLOOKUP(CONCATENATE(Mam_3,"_",$B18),'EF Lookup'!$F:$G,2, FALSE)))</f>
        <v>6.2700000000000004E-3</v>
      </c>
      <c r="L18" s="18"/>
    </row>
    <row r="19" spans="2:12" ht="14.4">
      <c r="B19" s="272"/>
      <c r="C19" s="272"/>
      <c r="D19"/>
      <c r="E19" s="273"/>
      <c r="F19" s="274"/>
      <c r="G19" s="274"/>
      <c r="H19" s="274"/>
      <c r="I19" s="274"/>
      <c r="J19" s="274"/>
      <c r="K19" s="274"/>
      <c r="L19" s="18"/>
    </row>
    <row r="20" spans="2:12">
      <c r="B20" s="30" t="s">
        <v>422</v>
      </c>
      <c r="C20" s="1"/>
      <c r="K20" s="31"/>
    </row>
    <row r="21" spans="2:12">
      <c r="B21" s="16" t="s">
        <v>45</v>
      </c>
      <c r="C21" s="1"/>
      <c r="J21" s="233"/>
    </row>
    <row r="22" spans="2:12">
      <c r="B22" s="16" t="s">
        <v>47</v>
      </c>
      <c r="C22" s="11"/>
      <c r="D22" s="11"/>
      <c r="E22" s="11"/>
      <c r="F22" s="11"/>
      <c r="G22" s="11"/>
      <c r="H22" s="11"/>
      <c r="I22" s="11"/>
      <c r="J22" s="11"/>
    </row>
    <row r="23" spans="2:12">
      <c r="B23" s="14" t="s">
        <v>223</v>
      </c>
      <c r="C23" s="11"/>
      <c r="D23" s="11"/>
      <c r="E23" s="11"/>
      <c r="F23" s="11"/>
      <c r="G23" s="11"/>
    </row>
    <row r="24" spans="2:12">
      <c r="B24" s="159" t="s">
        <v>50</v>
      </c>
      <c r="C24" s="12"/>
      <c r="D24" s="12"/>
      <c r="E24" s="12"/>
      <c r="F24" s="12"/>
      <c r="G24" s="12"/>
    </row>
    <row r="25" spans="2:12">
      <c r="B25" s="237" t="s">
        <v>434</v>
      </c>
      <c r="C25" s="11"/>
      <c r="D25" s="11"/>
    </row>
    <row r="26" spans="2:12">
      <c r="B26" s="264" t="s">
        <v>435</v>
      </c>
      <c r="C26" s="12"/>
      <c r="D26" s="12"/>
    </row>
    <row r="27" spans="2:12" ht="12.75" customHeight="1">
      <c r="B27" s="465" t="s">
        <v>436</v>
      </c>
      <c r="C27" s="465"/>
      <c r="D27" s="465"/>
      <c r="E27" s="465"/>
      <c r="F27" s="465"/>
      <c r="G27" s="465"/>
      <c r="H27" s="12"/>
      <c r="I27" s="12"/>
      <c r="J27" s="12"/>
      <c r="K27" s="12"/>
    </row>
    <row r="28" spans="2:12">
      <c r="B28" s="465"/>
      <c r="C28" s="465"/>
      <c r="D28" s="465"/>
      <c r="E28" s="465"/>
      <c r="F28" s="465"/>
      <c r="G28" s="465"/>
    </row>
    <row r="29" spans="2:12">
      <c r="B29" s="344" t="s">
        <v>500</v>
      </c>
      <c r="C29" s="1"/>
    </row>
    <row r="30" spans="2:12">
      <c r="B30" s="22" t="s">
        <v>255</v>
      </c>
      <c r="C30" s="1"/>
    </row>
    <row r="31" spans="2:12">
      <c r="B31" s="13"/>
      <c r="C31" s="1"/>
    </row>
    <row r="32" spans="2:12">
      <c r="B32" s="13"/>
      <c r="C32" s="1"/>
    </row>
    <row r="33" spans="2:3">
      <c r="B33" s="13"/>
      <c r="C33" s="1"/>
    </row>
    <row r="34" spans="2:3">
      <c r="B34" s="13"/>
      <c r="C34" s="1"/>
    </row>
    <row r="35" spans="2:3">
      <c r="B35" s="13"/>
      <c r="C35" s="1"/>
    </row>
    <row r="36" spans="2:3">
      <c r="B36" s="13"/>
      <c r="C36" s="1"/>
    </row>
    <row r="37" spans="2:3">
      <c r="B37" s="13"/>
      <c r="C37" s="1"/>
    </row>
    <row r="38" spans="2:3">
      <c r="B38" s="13"/>
      <c r="C38" s="1"/>
    </row>
    <row r="39" spans="2:3">
      <c r="B39" s="1"/>
      <c r="C39" s="1"/>
    </row>
    <row r="40" spans="2:3">
      <c r="B40" s="20"/>
      <c r="C40" s="1"/>
    </row>
    <row r="41" spans="2:3">
      <c r="B41" s="13"/>
      <c r="C41" s="1"/>
    </row>
    <row r="42" spans="2:3">
      <c r="B42" s="13"/>
      <c r="C42" s="1"/>
    </row>
    <row r="43" spans="2:3">
      <c r="B43" s="13"/>
      <c r="C43" s="1"/>
    </row>
    <row r="44" spans="2:3">
      <c r="B44" s="13"/>
      <c r="C44" s="1"/>
    </row>
    <row r="45" spans="2:3">
      <c r="B45" s="13"/>
      <c r="C45" s="1"/>
    </row>
    <row r="46" spans="2:3">
      <c r="B46" s="13"/>
      <c r="C46" s="1"/>
    </row>
    <row r="47" spans="2:3">
      <c r="B47" s="13"/>
      <c r="C47" s="1"/>
    </row>
    <row r="48" spans="2:3">
      <c r="B48" s="13"/>
      <c r="C48" s="1"/>
    </row>
    <row r="49" spans="2:3">
      <c r="B49" s="1"/>
      <c r="C49" s="1"/>
    </row>
    <row r="50" spans="2:3">
      <c r="B50" s="21"/>
      <c r="C50" s="1"/>
    </row>
    <row r="51" spans="2:3">
      <c r="B51" s="13"/>
      <c r="C51" s="1"/>
    </row>
    <row r="52" spans="2:3">
      <c r="B52" s="13"/>
      <c r="C52" s="1"/>
    </row>
    <row r="53" spans="2:3">
      <c r="B53" s="13"/>
      <c r="C53" s="1"/>
    </row>
    <row r="54" spans="2:3">
      <c r="B54" s="13"/>
      <c r="C54" s="1"/>
    </row>
    <row r="55" spans="2:3">
      <c r="B55" s="13"/>
      <c r="C55" s="1"/>
    </row>
    <row r="56" spans="2:3">
      <c r="B56" s="13"/>
      <c r="C56" s="1"/>
    </row>
    <row r="57" spans="2:3">
      <c r="B57" s="13"/>
      <c r="C57" s="1"/>
    </row>
    <row r="58" spans="2:3">
      <c r="B58" s="13"/>
      <c r="C58" s="1"/>
    </row>
    <row r="59" spans="2:3">
      <c r="B59" s="1"/>
      <c r="C59" s="1"/>
    </row>
    <row r="60" spans="2:3">
      <c r="B60" s="20"/>
      <c r="C60" s="1"/>
    </row>
    <row r="61" spans="2:3">
      <c r="B61" s="13"/>
      <c r="C61" s="1"/>
    </row>
    <row r="62" spans="2:3">
      <c r="B62" s="13"/>
      <c r="C62" s="1"/>
    </row>
    <row r="63" spans="2:3">
      <c r="B63" s="13"/>
      <c r="C63" s="1"/>
    </row>
    <row r="64" spans="2:3">
      <c r="B64" s="13"/>
      <c r="C64" s="1"/>
    </row>
    <row r="65" spans="2:3">
      <c r="B65" s="13"/>
      <c r="C65" s="1"/>
    </row>
    <row r="66" spans="2:3">
      <c r="B66" s="13"/>
      <c r="C66" s="1"/>
    </row>
    <row r="67" spans="2:3">
      <c r="B67" s="13"/>
      <c r="C67" s="1"/>
    </row>
    <row r="68" spans="2:3">
      <c r="B68" s="13"/>
      <c r="C68" s="1"/>
    </row>
  </sheetData>
  <mergeCells count="6">
    <mergeCell ref="I6:K6"/>
    <mergeCell ref="B27:G28"/>
    <mergeCell ref="B6:B9"/>
    <mergeCell ref="C6:D9"/>
    <mergeCell ref="E6:E9"/>
    <mergeCell ref="F6:H6"/>
  </mergeCells>
  <conditionalFormatting sqref="B18 E18:K18">
    <cfRule type="expression" dxfId="249" priority="3">
      <formula>ISBLANK(surface_water)</formula>
    </cfRule>
  </conditionalFormatting>
  <conditionalFormatting sqref="C18:D18">
    <cfRule type="expression" dxfId="248" priority="1">
      <formula>ISBLANK(surface_water)</formula>
    </cfRule>
  </conditionalFormatting>
  <pageMargins left="0.7" right="0.7" top="0.75" bottom="0.75" header="0.3" footer="0.3"/>
  <pageSetup scale="56" orientation="landscape" verticalDpi="1200" r:id="rId1"/>
  <headerFooter>
    <oddFooter>&amp;CPage &amp;P of &amp;N</oddFooter>
  </headerFooter>
  <legacyDrawingHF r:id="rId2"/>
  <extLst>
    <ext xmlns:x14="http://schemas.microsoft.com/office/spreadsheetml/2009/9/main" uri="{CCE6A557-97BC-4b89-ADB6-D9C93CAAB3DF}">
      <x14:dataValidations xmlns:xm="http://schemas.microsoft.com/office/excel/2006/main" count="6">
        <x14:dataValidation type="list" showInputMessage="1" xr:uid="{FE49CB9B-D028-45C4-9686-02C175134E16}">
          <x14:formula1>
            <xm:f>'Nagy FIR variables'!$K$2:$K$4</xm:f>
          </x14:formula1>
          <xm:sqref>F8</xm:sqref>
        </x14:dataValidation>
        <x14:dataValidation type="list" showInputMessage="1" xr:uid="{2AF93711-68F1-4419-81E6-5EE545876F7B}">
          <x14:formula1>
            <xm:f>'Nagy FIR variables'!$K$10:$K$12</xm:f>
          </x14:formula1>
          <xm:sqref>I8</xm:sqref>
        </x14:dataValidation>
        <x14:dataValidation type="list" showInputMessage="1" xr:uid="{717129B8-522C-4B02-9349-E222629D3955}">
          <x14:formula1>
            <xm:f>'Nagy FIR variables'!$K$15:$K$16</xm:f>
          </x14:formula1>
          <xm:sqref>K8</xm:sqref>
        </x14:dataValidation>
        <x14:dataValidation type="list" showInputMessage="1" xr:uid="{943F97B8-9EE1-498C-8DA4-644D38069E40}">
          <x14:formula1>
            <xm:f>'Nagy FIR variables'!$K$8:$K$9</xm:f>
          </x14:formula1>
          <xm:sqref>H8</xm:sqref>
        </x14:dataValidation>
        <x14:dataValidation type="list" showInputMessage="1" xr:uid="{FE1AADBA-8B4E-4B55-92D7-3D783EBF9108}">
          <x14:formula1>
            <xm:f>'Nagy FIR variables'!$K$5:$K$7</xm:f>
          </x14:formula1>
          <xm:sqref>G8</xm:sqref>
        </x14:dataValidation>
        <x14:dataValidation type="list" showInputMessage="1" xr:uid="{1ED968C2-B50A-4693-BBDD-EB2E83AD33DF}">
          <x14:formula1>
            <xm:f>'Nagy FIR variables'!$K$13:$K$14</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751B-B573-4B18-8C02-AD0815F235F6}">
  <sheetPr>
    <tabColor rgb="FFCCFFFF"/>
    <pageSetUpPr fitToPage="1"/>
  </sheetPr>
  <dimension ref="B1:I57"/>
  <sheetViews>
    <sheetView view="pageBreakPreview" topLeftCell="A2" zoomScale="70" zoomScaleNormal="100" zoomScaleSheetLayoutView="70" zoomScalePageLayoutView="70" workbookViewId="0">
      <selection activeCell="F4" sqref="F4"/>
    </sheetView>
  </sheetViews>
  <sheetFormatPr defaultColWidth="9.21875" defaultRowHeight="13.2" outlineLevelRow="1"/>
  <cols>
    <col min="1" max="1" width="3.44140625" style="14" customWidth="1"/>
    <col min="2" max="2" width="22" style="14" customWidth="1"/>
    <col min="3" max="3" width="11.77734375" style="14" customWidth="1"/>
    <col min="4" max="4" width="24" style="14" bestFit="1" customWidth="1"/>
    <col min="5" max="5" width="9.77734375" style="14" customWidth="1"/>
    <col min="6" max="6" width="20" style="14" customWidth="1"/>
    <col min="7" max="16384" width="9.21875" style="14"/>
  </cols>
  <sheetData>
    <row r="1" spans="2:9" ht="18" hidden="1" customHeight="1" outlineLevel="1"/>
    <row r="2" spans="2:9" collapsed="1">
      <c r="B2" s="342" t="str">
        <f>Site</f>
        <v>Test Site #1</v>
      </c>
      <c r="C2" s="343"/>
      <c r="D2" s="343"/>
      <c r="E2" s="343"/>
      <c r="F2" s="343"/>
    </row>
    <row r="3" spans="2:9">
      <c r="B3" s="342" t="str">
        <f>Title2</f>
        <v xml:space="preserve">Table 2: Bioaccumulation Parameters </v>
      </c>
      <c r="C3" s="343"/>
      <c r="D3" s="343"/>
      <c r="E3" s="343"/>
      <c r="F3" s="343"/>
    </row>
    <row r="4" spans="2:9" ht="27.75" customHeight="1">
      <c r="B4" s="469" t="s">
        <v>472</v>
      </c>
      <c r="C4" s="469"/>
      <c r="D4" s="469"/>
      <c r="E4" s="469"/>
      <c r="F4" s="250"/>
    </row>
    <row r="5" spans="2:9" s="35" customFormat="1">
      <c r="B5" s="471" t="s">
        <v>44</v>
      </c>
      <c r="C5" s="470" t="s">
        <v>81</v>
      </c>
      <c r="D5" s="470"/>
      <c r="E5" s="470" t="s">
        <v>80</v>
      </c>
      <c r="F5" s="470"/>
    </row>
    <row r="6" spans="2:9" ht="70.5" customHeight="1">
      <c r="B6" s="471"/>
      <c r="C6" s="472" t="s">
        <v>408</v>
      </c>
      <c r="D6" s="472"/>
      <c r="E6" s="472" t="s">
        <v>411</v>
      </c>
      <c r="F6" s="472"/>
    </row>
    <row r="7" spans="2:9">
      <c r="B7" s="471"/>
      <c r="C7" s="123" t="s">
        <v>53</v>
      </c>
      <c r="D7" s="123" t="s">
        <v>79</v>
      </c>
      <c r="E7" s="123" t="s">
        <v>53</v>
      </c>
      <c r="F7" s="123" t="s">
        <v>79</v>
      </c>
    </row>
    <row r="8" spans="2:9" ht="20.100000000000001" customHeight="1">
      <c r="B8" s="379" t="s">
        <v>75</v>
      </c>
      <c r="C8" s="380"/>
      <c r="D8" s="380"/>
      <c r="E8" s="380"/>
      <c r="F8" s="380"/>
    </row>
    <row r="9" spans="2:9" ht="16.05" customHeight="1">
      <c r="B9" s="32" t="s">
        <v>59</v>
      </c>
      <c r="C9" s="381">
        <v>0.22</v>
      </c>
      <c r="D9" s="248" t="s">
        <v>406</v>
      </c>
      <c r="E9" s="382" t="str">
        <f>IF($F$4="Yes",0.0019,"--")</f>
        <v>--</v>
      </c>
      <c r="F9" s="248" t="str">
        <f>IF($F$4="Yes","a","--")</f>
        <v>--</v>
      </c>
      <c r="I9" s="233"/>
    </row>
    <row r="10" spans="2:9" ht="16.05" customHeight="1">
      <c r="B10" s="32" t="s">
        <v>60</v>
      </c>
      <c r="C10" s="383">
        <v>1.3</v>
      </c>
      <c r="D10" s="247" t="s">
        <v>403</v>
      </c>
      <c r="E10" s="384">
        <v>3.3999999999999998E-3</v>
      </c>
      <c r="F10" s="247" t="s">
        <v>403</v>
      </c>
    </row>
    <row r="11" spans="2:9" ht="16.05" customHeight="1">
      <c r="B11" s="32" t="s">
        <v>61</v>
      </c>
      <c r="C11" s="381">
        <v>0.81</v>
      </c>
      <c r="D11" s="247" t="s">
        <v>403</v>
      </c>
      <c r="E11" s="385">
        <v>1.0999999999999999E-2</v>
      </c>
      <c r="F11" s="247" t="s">
        <v>403</v>
      </c>
    </row>
    <row r="12" spans="2:9" ht="16.05" customHeight="1">
      <c r="B12" s="208" t="s">
        <v>62</v>
      </c>
      <c r="C12" s="385">
        <v>9.4E-2</v>
      </c>
      <c r="D12" s="247" t="s">
        <v>403</v>
      </c>
      <c r="E12" s="385">
        <v>1.2E-2</v>
      </c>
      <c r="F12" s="247" t="s">
        <v>403</v>
      </c>
    </row>
    <row r="13" spans="2:9" ht="16.05" customHeight="1">
      <c r="B13" s="32" t="s">
        <v>38</v>
      </c>
      <c r="C13" s="386">
        <v>1.7000000000000001E-2</v>
      </c>
      <c r="D13" s="247" t="s">
        <v>403</v>
      </c>
      <c r="E13" s="385">
        <v>4.7E-2</v>
      </c>
      <c r="F13" s="247" t="s">
        <v>403</v>
      </c>
    </row>
    <row r="14" spans="2:9" ht="16.05" customHeight="1">
      <c r="B14" s="32" t="s">
        <v>63</v>
      </c>
      <c r="C14" s="386">
        <v>1.2E-2</v>
      </c>
      <c r="D14" s="247" t="s">
        <v>403</v>
      </c>
      <c r="E14" s="385">
        <v>9.0999999999999998E-2</v>
      </c>
      <c r="F14" s="247" t="s">
        <v>403</v>
      </c>
    </row>
    <row r="15" spans="2:9" ht="16.05" customHeight="1">
      <c r="B15" s="32" t="s">
        <v>64</v>
      </c>
      <c r="C15" s="387">
        <v>8.3999999999999995E-3</v>
      </c>
      <c r="D15" s="247" t="s">
        <v>403</v>
      </c>
      <c r="E15" s="381">
        <v>0.26</v>
      </c>
      <c r="F15" s="247" t="s">
        <v>403</v>
      </c>
    </row>
    <row r="16" spans="2:9" ht="16.05" customHeight="1">
      <c r="B16" s="32" t="s">
        <v>65</v>
      </c>
      <c r="C16" s="387">
        <v>7.6E-3</v>
      </c>
      <c r="D16" s="247" t="s">
        <v>403</v>
      </c>
      <c r="E16" s="381">
        <v>0.39</v>
      </c>
      <c r="F16" s="247" t="s">
        <v>403</v>
      </c>
    </row>
    <row r="17" spans="2:7" ht="16.05" customHeight="1">
      <c r="B17" s="32" t="s">
        <v>66</v>
      </c>
      <c r="C17" s="387">
        <v>6.7000000000000002E-3</v>
      </c>
      <c r="D17" s="247" t="s">
        <v>403</v>
      </c>
      <c r="E17" s="381">
        <v>0.61</v>
      </c>
      <c r="F17" s="247" t="s">
        <v>403</v>
      </c>
    </row>
    <row r="18" spans="2:7" ht="16.05" customHeight="1">
      <c r="B18" s="32" t="s">
        <v>67</v>
      </c>
      <c r="C18" s="382" t="str">
        <f>IF($F$4="Yes",0.0049,"--")</f>
        <v>--</v>
      </c>
      <c r="D18" s="248" t="str">
        <f>IF($F$4="Yes","b","--")</f>
        <v>--</v>
      </c>
      <c r="E18" s="388" t="str">
        <f>IF($F$4="Yes",1.8,"--")</f>
        <v>--</v>
      </c>
      <c r="F18" s="248" t="str">
        <f>IF($F$4="Yes","a","--")</f>
        <v>--</v>
      </c>
      <c r="G18" s="311"/>
    </row>
    <row r="19" spans="2:7" ht="16.05" customHeight="1">
      <c r="B19" s="32" t="s">
        <v>68</v>
      </c>
      <c r="C19" s="382" t="str">
        <f>IF($F$4="Yes",0.0039,"--")</f>
        <v>--</v>
      </c>
      <c r="D19" s="248" t="str">
        <f>IF($F$4="Yes","b","--")</f>
        <v>--</v>
      </c>
      <c r="E19" s="388" t="str">
        <f>IF($F$4="Yes",3.8,"--")</f>
        <v>--</v>
      </c>
      <c r="F19" s="248" t="str">
        <f>IF($F$4="Yes","a","--")</f>
        <v>--</v>
      </c>
      <c r="G19" s="310"/>
    </row>
    <row r="20" spans="2:7" ht="20.100000000000001" customHeight="1">
      <c r="B20" s="389" t="s">
        <v>76</v>
      </c>
      <c r="C20" s="390"/>
      <c r="D20" s="390"/>
      <c r="E20" s="390"/>
      <c r="F20" s="390"/>
    </row>
    <row r="21" spans="2:7" ht="16.05" customHeight="1">
      <c r="B21" s="32" t="s">
        <v>69</v>
      </c>
      <c r="C21" s="381">
        <v>0.4</v>
      </c>
      <c r="D21" s="391" t="s">
        <v>403</v>
      </c>
      <c r="E21" s="385">
        <v>9.1999999999999998E-2</v>
      </c>
      <c r="F21" s="391" t="s">
        <v>403</v>
      </c>
    </row>
    <row r="22" spans="2:7" ht="16.05" customHeight="1">
      <c r="B22" s="32" t="s">
        <v>70</v>
      </c>
      <c r="C22" s="385">
        <v>8.6999999999999994E-2</v>
      </c>
      <c r="D22" s="391" t="s">
        <v>403</v>
      </c>
      <c r="E22" s="381">
        <v>0.34</v>
      </c>
      <c r="F22" s="391" t="s">
        <v>403</v>
      </c>
    </row>
    <row r="23" spans="2:7" ht="16.05" customHeight="1">
      <c r="B23" s="32" t="s">
        <v>37</v>
      </c>
      <c r="C23" s="385">
        <v>4.5999999999999999E-2</v>
      </c>
      <c r="D23" s="391" t="s">
        <v>403</v>
      </c>
      <c r="E23" s="381">
        <v>0.55000000000000004</v>
      </c>
      <c r="F23" s="391" t="s">
        <v>403</v>
      </c>
    </row>
    <row r="24" spans="2:7" ht="16.05" customHeight="1">
      <c r="B24" s="32" t="s">
        <v>71</v>
      </c>
      <c r="C24" s="384">
        <v>1.8E-3</v>
      </c>
      <c r="D24" s="249" t="s">
        <v>406</v>
      </c>
      <c r="E24" s="385">
        <v>1.7000000000000001E-2</v>
      </c>
      <c r="F24" s="391" t="s">
        <v>404</v>
      </c>
    </row>
    <row r="25" spans="2:7" ht="19.350000000000001" customHeight="1">
      <c r="B25" s="389" t="s">
        <v>77</v>
      </c>
      <c r="C25" s="390"/>
      <c r="D25" s="390"/>
      <c r="E25" s="390"/>
      <c r="F25" s="390"/>
    </row>
    <row r="26" spans="2:7" ht="16.05" customHeight="1">
      <c r="B26" s="363" t="s">
        <v>72</v>
      </c>
      <c r="C26" s="392">
        <v>3.3E-4</v>
      </c>
      <c r="D26" s="249" t="s">
        <v>407</v>
      </c>
      <c r="E26" s="248" t="str">
        <f>IF($F$4="Yes",$E$23,"--")</f>
        <v>--</v>
      </c>
      <c r="F26" s="248" t="str">
        <f>IF($F$4="Yes","c","--")</f>
        <v>--</v>
      </c>
    </row>
    <row r="27" spans="2:7" ht="19.350000000000001" customHeight="1">
      <c r="B27" s="389" t="s">
        <v>78</v>
      </c>
      <c r="C27" s="390"/>
      <c r="D27" s="390"/>
      <c r="E27" s="390"/>
      <c r="F27" s="390"/>
    </row>
    <row r="28" spans="2:7" ht="16.05" customHeight="1">
      <c r="B28" s="32" t="s">
        <v>73</v>
      </c>
      <c r="C28" s="393" t="str">
        <f>IF($F$4="Yes",$C$23,"--")</f>
        <v>--</v>
      </c>
      <c r="D28" s="248" t="str">
        <f>IF($F$4="Yes","c","--")</f>
        <v>--</v>
      </c>
      <c r="E28" s="385">
        <v>8.4000000000000005E-2</v>
      </c>
      <c r="F28" s="249" t="s">
        <v>405</v>
      </c>
    </row>
    <row r="29" spans="2:7" ht="16.05" customHeight="1">
      <c r="B29" s="32" t="s">
        <v>74</v>
      </c>
      <c r="C29" s="393" t="str">
        <f>IF($F$4="Yes",$C$23,"--")</f>
        <v>--</v>
      </c>
      <c r="D29" s="248" t="str">
        <f>IF($F$4="Yes","c","--")</f>
        <v>--</v>
      </c>
      <c r="E29" s="248" t="str">
        <f>IF($F$4="Yes",$E$23,"--")</f>
        <v>--</v>
      </c>
      <c r="F29" s="248" t="str">
        <f>IF($F$4="Yes","c","--")</f>
        <v>--</v>
      </c>
    </row>
    <row r="30" spans="2:7" ht="16.05" customHeight="1">
      <c r="B30" s="43"/>
      <c r="C30" s="257"/>
      <c r="D30" s="258"/>
      <c r="E30" s="259"/>
      <c r="F30" s="260"/>
    </row>
    <row r="31" spans="2:7">
      <c r="B31" s="30" t="s">
        <v>422</v>
      </c>
    </row>
    <row r="32" spans="2:7">
      <c r="B32" s="251" t="s">
        <v>416</v>
      </c>
    </row>
    <row r="33" spans="2:6" ht="14.4">
      <c r="B33" s="252" t="s">
        <v>260</v>
      </c>
      <c r="C33"/>
      <c r="D33"/>
      <c r="E33"/>
    </row>
    <row r="34" spans="2:6" ht="14.4">
      <c r="B34" s="252" t="s">
        <v>47</v>
      </c>
      <c r="C34"/>
      <c r="D34"/>
      <c r="E34"/>
    </row>
    <row r="35" spans="2:6" ht="14.4">
      <c r="B35" s="253" t="s">
        <v>414</v>
      </c>
      <c r="C35"/>
      <c r="D35"/>
      <c r="E35"/>
    </row>
    <row r="36" spans="2:6" ht="14.4">
      <c r="B36" s="253" t="s">
        <v>415</v>
      </c>
      <c r="C36"/>
      <c r="D36"/>
      <c r="E36"/>
    </row>
    <row r="37" spans="2:6" ht="15" customHeight="1">
      <c r="B37" s="467" t="s">
        <v>501</v>
      </c>
      <c r="C37" s="468"/>
      <c r="D37" s="468"/>
      <c r="E37" s="468"/>
      <c r="F37" s="468"/>
    </row>
    <row r="38" spans="2:6">
      <c r="B38" s="468"/>
      <c r="C38" s="468"/>
      <c r="D38" s="468"/>
      <c r="E38" s="468"/>
      <c r="F38" s="468"/>
    </row>
    <row r="39" spans="2:6">
      <c r="B39" s="309" t="str">
        <f>IF($F$4="Yes","a: BSAF-TI calculated from log10 regression on BSAF-TI for PFCAs","")</f>
        <v/>
      </c>
    </row>
    <row r="40" spans="2:6">
      <c r="B40" s="309" t="str">
        <f>IF($F$4="Yes","b: BSAF-TP calculated from log10 regression of BSAF-TP for long-chain PFCAs","")</f>
        <v/>
      </c>
    </row>
    <row r="41" spans="2:6">
      <c r="B41" s="309" t="str">
        <f>IF($F$4="Yes","c: PFOS used as a surrogate for FASAs and FASAAs","")</f>
        <v/>
      </c>
    </row>
    <row r="42" spans="2:6">
      <c r="B42" s="309"/>
    </row>
    <row r="48" spans="2:6">
      <c r="B48" s="16"/>
    </row>
    <row r="49" spans="2:2">
      <c r="B49" s="16"/>
    </row>
    <row r="50" spans="2:2">
      <c r="B50" s="16"/>
    </row>
    <row r="51" spans="2:2">
      <c r="B51" s="16"/>
    </row>
    <row r="52" spans="2:2">
      <c r="B52" s="36"/>
    </row>
    <row r="53" spans="2:2">
      <c r="B53" s="36"/>
    </row>
    <row r="54" spans="2:2">
      <c r="B54" s="36"/>
    </row>
    <row r="55" spans="2:2">
      <c r="B55" s="36"/>
    </row>
    <row r="56" spans="2:2">
      <c r="B56" s="15"/>
    </row>
    <row r="57" spans="2:2">
      <c r="B57" s="15"/>
    </row>
  </sheetData>
  <mergeCells count="7">
    <mergeCell ref="B37:F38"/>
    <mergeCell ref="B4:E4"/>
    <mergeCell ref="E5:F5"/>
    <mergeCell ref="C5:D5"/>
    <mergeCell ref="B5:B7"/>
    <mergeCell ref="C6:D6"/>
    <mergeCell ref="E6:F6"/>
  </mergeCells>
  <printOptions horizontalCentered="1"/>
  <pageMargins left="0.5" right="0.5" top="0.75" bottom="0.6" header="0.35" footer="0.35"/>
  <pageSetup paperSize="119" scale="27" orientation="landscape" r:id="rId1"/>
  <headerFooter>
    <oddFooter xml:space="preserve">&amp;C&amp;"Arial,Regular"&amp;10Page &amp;P of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9A3A-9384-4FA8-B606-68750CEBC5F2}">
  <sheetPr>
    <tabColor rgb="FFCCFFFF"/>
    <pageSetUpPr fitToPage="1"/>
  </sheetPr>
  <dimension ref="B2:Z40"/>
  <sheetViews>
    <sheetView view="pageBreakPreview" zoomScale="85" zoomScaleNormal="100" zoomScaleSheetLayoutView="85" zoomScalePageLayoutView="85" workbookViewId="0">
      <selection activeCell="M29" sqref="M29"/>
    </sheetView>
  </sheetViews>
  <sheetFormatPr defaultColWidth="9.21875" defaultRowHeight="13.2"/>
  <cols>
    <col min="1" max="1" width="3.44140625" style="14" customWidth="1"/>
    <col min="2" max="2" width="16.44140625" style="14" customWidth="1"/>
    <col min="3" max="3" width="10.77734375" style="18" bestFit="1" customWidth="1"/>
    <col min="4" max="4" width="7.44140625" style="14" bestFit="1" customWidth="1"/>
    <col min="5" max="5" width="9.44140625" style="14" customWidth="1"/>
    <col min="6" max="6" width="7.44140625" style="14" bestFit="1" customWidth="1"/>
    <col min="7" max="7" width="8.44140625" style="14" customWidth="1"/>
    <col min="8" max="8" width="9.77734375" style="14" bestFit="1" customWidth="1"/>
    <col min="9" max="9" width="9.21875" style="14"/>
    <col min="10" max="10" width="9.77734375" style="14" bestFit="1" customWidth="1"/>
    <col min="11" max="11" width="3" style="14" customWidth="1"/>
    <col min="12" max="16384" width="9.21875" style="14"/>
  </cols>
  <sheetData>
    <row r="2" spans="2:26">
      <c r="B2" s="15" t="str">
        <f>Site</f>
        <v>Test Site #1</v>
      </c>
    </row>
    <row r="3" spans="2:26">
      <c r="B3" s="15" t="str">
        <f>Title3</f>
        <v>Table 3: Site-specific Data Entry and Food Web Model</v>
      </c>
      <c r="L3" s="15"/>
    </row>
    <row r="4" spans="2:26">
      <c r="B4" s="210" t="s">
        <v>417</v>
      </c>
      <c r="C4" s="212"/>
      <c r="D4" s="213"/>
      <c r="E4" s="213"/>
      <c r="F4" s="213"/>
      <c r="G4" s="214">
        <v>0.01</v>
      </c>
      <c r="H4" s="26" t="str">
        <f>IF(OR(P_OC&lt;=0,P_OC&gt;1),"ERROR: FOC must be greater than 0 and less than 1","")</f>
        <v/>
      </c>
    </row>
    <row r="5" spans="2:26">
      <c r="B5" s="210" t="s">
        <v>89</v>
      </c>
      <c r="C5" s="212"/>
      <c r="D5" s="213"/>
      <c r="E5" s="213"/>
      <c r="F5" s="213"/>
      <c r="G5" s="215" t="s">
        <v>284</v>
      </c>
    </row>
    <row r="6" spans="2:26" ht="47.25" customHeight="1">
      <c r="B6" s="473" t="s">
        <v>52</v>
      </c>
      <c r="C6" s="475" t="s">
        <v>442</v>
      </c>
      <c r="D6" s="477"/>
      <c r="E6" s="475" t="s">
        <v>443</v>
      </c>
      <c r="F6" s="476"/>
      <c r="G6" s="474" t="s">
        <v>371</v>
      </c>
      <c r="H6" s="474"/>
      <c r="I6" s="475" t="s">
        <v>455</v>
      </c>
      <c r="J6" s="477"/>
    </row>
    <row r="7" spans="2:26" ht="66" customHeight="1">
      <c r="B7" s="473"/>
      <c r="C7" s="124" t="s">
        <v>438</v>
      </c>
      <c r="D7" s="124" t="s">
        <v>89</v>
      </c>
      <c r="E7" s="241" t="s">
        <v>438</v>
      </c>
      <c r="F7" s="124" t="s">
        <v>440</v>
      </c>
      <c r="G7" s="241" t="s">
        <v>438</v>
      </c>
      <c r="H7" s="124" t="s">
        <v>439</v>
      </c>
      <c r="I7" s="124" t="s">
        <v>437</v>
      </c>
      <c r="J7" s="124" t="s">
        <v>89</v>
      </c>
      <c r="K7" s="17"/>
    </row>
    <row r="8" spans="2:26">
      <c r="B8" s="82" t="s">
        <v>75</v>
      </c>
      <c r="C8" s="125" t="s">
        <v>441</v>
      </c>
      <c r="D8" s="67"/>
      <c r="E8" s="125"/>
      <c r="F8" s="125" t="s">
        <v>419</v>
      </c>
      <c r="G8" s="125"/>
      <c r="H8" s="125" t="s">
        <v>419</v>
      </c>
      <c r="I8" s="126" t="s">
        <v>431</v>
      </c>
      <c r="J8" s="67"/>
    </row>
    <row r="9" spans="2:26">
      <c r="B9" s="38" t="s">
        <v>59</v>
      </c>
      <c r="C9" s="410">
        <v>1000</v>
      </c>
      <c r="D9" s="410" t="s">
        <v>94</v>
      </c>
      <c r="E9" s="410"/>
      <c r="F9" s="422">
        <f>IFERROR(((C9/P_OC)*VLOOKUP(B9,BioaccumParams!$B$8:$F$29,2,FALSE)),"n/a")</f>
        <v>22000</v>
      </c>
      <c r="G9" s="410"/>
      <c r="H9" s="422" t="str">
        <f>IFERROR(((C9/P_OC)*VLOOKUP(B9,BioaccumParams!$B$8:$F$29,4,FALSE)),"n/a")</f>
        <v>n/a</v>
      </c>
      <c r="I9" s="416">
        <v>10</v>
      </c>
      <c r="J9" s="410" t="s">
        <v>94</v>
      </c>
      <c r="L9" s="57"/>
      <c r="M9" s="57"/>
      <c r="N9" s="57"/>
      <c r="O9" s="57"/>
      <c r="P9" s="57"/>
      <c r="Q9" s="57"/>
      <c r="R9" s="57"/>
      <c r="S9" s="24"/>
      <c r="T9" s="24"/>
      <c r="U9" s="24"/>
      <c r="V9" s="24"/>
      <c r="W9" s="24"/>
      <c r="X9" s="24"/>
      <c r="Y9" s="24"/>
      <c r="Z9" s="24"/>
    </row>
    <row r="10" spans="2:26">
      <c r="B10" s="29" t="s">
        <v>60</v>
      </c>
      <c r="C10" s="410">
        <v>1000</v>
      </c>
      <c r="D10" s="410" t="s">
        <v>95</v>
      </c>
      <c r="E10" s="410"/>
      <c r="F10" s="422">
        <f>IFERROR(((C10/P_OC)*VLOOKUP(B10,BioaccumParams!$B$8:$F$29,2,FALSE)),"n/a")</f>
        <v>130000</v>
      </c>
      <c r="G10" s="410"/>
      <c r="H10" s="422">
        <f>IFERROR(((C10/P_OC)*VLOOKUP(B10,BioaccumParams!$B$8:$F$29,4,FALSE)),"n/a")</f>
        <v>340</v>
      </c>
      <c r="I10" s="416">
        <v>10</v>
      </c>
      <c r="J10" s="410" t="s">
        <v>95</v>
      </c>
      <c r="L10" s="57"/>
      <c r="M10" s="24"/>
      <c r="N10" s="24"/>
      <c r="O10" s="24"/>
      <c r="P10" s="24"/>
      <c r="Q10" s="24"/>
      <c r="R10" s="24"/>
      <c r="S10" s="24"/>
      <c r="T10" s="24"/>
      <c r="U10" s="24"/>
      <c r="V10" s="24"/>
      <c r="W10" s="24"/>
      <c r="X10" s="24"/>
      <c r="Y10" s="24"/>
      <c r="Z10" s="24"/>
    </row>
    <row r="11" spans="2:26">
      <c r="B11" s="29" t="s">
        <v>61</v>
      </c>
      <c r="C11" s="410">
        <v>2000</v>
      </c>
      <c r="D11" s="410" t="s">
        <v>95</v>
      </c>
      <c r="E11" s="410">
        <v>5</v>
      </c>
      <c r="F11" s="422">
        <f>IFERROR(((C11/P_OC)*VLOOKUP(B11,BioaccumParams!$B$8:$F$29,2,FALSE)),"n/a")</f>
        <v>162000</v>
      </c>
      <c r="G11" s="410">
        <v>60</v>
      </c>
      <c r="H11" s="422">
        <f>IFERROR(((C11/P_OC)*VLOOKUP(B11,BioaccumParams!$B$8:$F$29,4,FALSE)),"n/a")</f>
        <v>2200</v>
      </c>
      <c r="I11" s="416">
        <v>10</v>
      </c>
      <c r="J11" s="410" t="s">
        <v>95</v>
      </c>
      <c r="L11" s="57"/>
      <c r="M11" s="24"/>
      <c r="N11" s="24"/>
      <c r="O11" s="24"/>
      <c r="P11" s="24"/>
      <c r="Q11" s="24"/>
      <c r="R11" s="24"/>
      <c r="S11" s="24"/>
      <c r="T11" s="24"/>
      <c r="U11" s="24"/>
      <c r="V11" s="24"/>
      <c r="W11" s="24"/>
      <c r="X11" s="24"/>
      <c r="Y11" s="24"/>
      <c r="Z11" s="24"/>
    </row>
    <row r="12" spans="2:26">
      <c r="B12" s="29" t="s">
        <v>62</v>
      </c>
      <c r="C12" s="410">
        <v>2000</v>
      </c>
      <c r="D12" s="410" t="s">
        <v>95</v>
      </c>
      <c r="E12" s="410"/>
      <c r="F12" s="422">
        <f>IFERROR(((C12/P_OC)*VLOOKUP(B12,BioaccumParams!$B$8:$F$29,2,FALSE)),"n/a")</f>
        <v>18800</v>
      </c>
      <c r="G12" s="410"/>
      <c r="H12" s="422">
        <f>IFERROR(((C12/P_OC)*VLOOKUP(B12,BioaccumParams!$B$8:$F$29,4,FALSE)),"n/a")</f>
        <v>2400</v>
      </c>
      <c r="I12" s="416">
        <v>30</v>
      </c>
      <c r="J12" s="410" t="s">
        <v>95</v>
      </c>
      <c r="L12" s="57"/>
      <c r="M12" s="24"/>
      <c r="N12" s="24"/>
      <c r="O12" s="24"/>
      <c r="P12" s="24"/>
      <c r="Q12" s="24"/>
      <c r="R12" s="24"/>
      <c r="S12" s="24"/>
      <c r="T12" s="24"/>
      <c r="U12" s="24"/>
      <c r="V12" s="24"/>
      <c r="W12" s="24"/>
      <c r="X12" s="24"/>
      <c r="Y12" s="24"/>
      <c r="Z12" s="24"/>
    </row>
    <row r="13" spans="2:26">
      <c r="B13" s="29" t="s">
        <v>38</v>
      </c>
      <c r="C13" s="410">
        <v>3000</v>
      </c>
      <c r="D13" s="410" t="s">
        <v>94</v>
      </c>
      <c r="E13" s="410">
        <v>10</v>
      </c>
      <c r="F13" s="422">
        <f>IFERROR(((C13/P_OC)*VLOOKUP(B13,BioaccumParams!$B$8:$F$29,2,FALSE)),"n/a")</f>
        <v>5100</v>
      </c>
      <c r="G13" s="410">
        <v>1</v>
      </c>
      <c r="H13" s="422">
        <f>IFERROR(((C13/P_OC)*VLOOKUP(B13,BioaccumParams!$B$8:$F$29,4,FALSE)),"n/a")</f>
        <v>14100</v>
      </c>
      <c r="I13" s="416">
        <v>10</v>
      </c>
      <c r="J13" s="410" t="s">
        <v>94</v>
      </c>
      <c r="L13" s="57"/>
      <c r="M13" s="24"/>
      <c r="N13" s="24"/>
      <c r="O13" s="24"/>
      <c r="P13" s="24"/>
      <c r="Q13" s="24"/>
      <c r="R13" s="24"/>
      <c r="S13" s="24"/>
      <c r="T13" s="24"/>
      <c r="U13" s="24"/>
      <c r="V13" s="24"/>
      <c r="W13" s="24"/>
      <c r="X13" s="24"/>
      <c r="Y13" s="24"/>
      <c r="Z13" s="24"/>
    </row>
    <row r="14" spans="2:26">
      <c r="B14" s="29" t="s">
        <v>63</v>
      </c>
      <c r="C14" s="410">
        <v>3000</v>
      </c>
      <c r="D14" s="410" t="s">
        <v>94</v>
      </c>
      <c r="E14" s="410"/>
      <c r="F14" s="422">
        <f>IFERROR(((C14/P_OC)*VLOOKUP(B14,BioaccumParams!$B$8:$F$29,2,FALSE)),"n/a")</f>
        <v>3600</v>
      </c>
      <c r="G14" s="410"/>
      <c r="H14" s="422">
        <f>IFERROR(((C14/P_OC)*VLOOKUP(B14,BioaccumParams!$B$8:$F$29,4,FALSE)),"n/a")</f>
        <v>27300</v>
      </c>
      <c r="I14" s="416">
        <v>10</v>
      </c>
      <c r="J14" s="410" t="s">
        <v>94</v>
      </c>
      <c r="L14" s="57"/>
      <c r="M14" s="24"/>
      <c r="N14" s="24"/>
      <c r="O14" s="24"/>
      <c r="P14" s="24"/>
      <c r="Q14" s="24"/>
      <c r="R14" s="24"/>
      <c r="S14" s="24"/>
      <c r="T14" s="24"/>
      <c r="U14" s="24"/>
      <c r="V14" s="24"/>
      <c r="W14" s="24"/>
      <c r="X14" s="24"/>
      <c r="Y14" s="24"/>
      <c r="Z14" s="24"/>
    </row>
    <row r="15" spans="2:26">
      <c r="B15" s="29" t="s">
        <v>64</v>
      </c>
      <c r="C15" s="410">
        <v>4000</v>
      </c>
      <c r="D15" s="410" t="s">
        <v>95</v>
      </c>
      <c r="E15" s="410"/>
      <c r="F15" s="422">
        <f>IFERROR(((C15/P_OC)*VLOOKUP(B15,BioaccumParams!$B$8:$F$29,2,FALSE)),"n/a")</f>
        <v>3360</v>
      </c>
      <c r="G15" s="410"/>
      <c r="H15" s="422">
        <f>IFERROR(((C15/P_OC)*VLOOKUP(B15,BioaccumParams!$B$8:$F$29,4,FALSE)),"n/a")</f>
        <v>104000</v>
      </c>
      <c r="I15" s="416">
        <v>10</v>
      </c>
      <c r="J15" s="410" t="s">
        <v>95</v>
      </c>
      <c r="L15" s="57"/>
    </row>
    <row r="16" spans="2:26">
      <c r="B16" s="29" t="s">
        <v>65</v>
      </c>
      <c r="C16" s="410">
        <v>4000</v>
      </c>
      <c r="D16" s="410" t="s">
        <v>94</v>
      </c>
      <c r="E16" s="410"/>
      <c r="F16" s="422">
        <f>IFERROR(((C16/P_OC)*VLOOKUP(B16,BioaccumParams!$B$8:$F$29,2,FALSE)),"n/a")</f>
        <v>3040</v>
      </c>
      <c r="G16" s="410"/>
      <c r="H16" s="422">
        <f>IFERROR(((C16/P_OC)*VLOOKUP(B16,BioaccumParams!$B$8:$F$29,4,FALSE)),"n/a")</f>
        <v>156000</v>
      </c>
      <c r="I16" s="416">
        <v>10</v>
      </c>
      <c r="J16" s="410" t="s">
        <v>94</v>
      </c>
      <c r="L16" s="57"/>
    </row>
    <row r="17" spans="2:12">
      <c r="B17" s="29" t="s">
        <v>66</v>
      </c>
      <c r="C17" s="410">
        <v>5000</v>
      </c>
      <c r="D17" s="410" t="s">
        <v>95</v>
      </c>
      <c r="E17" s="410"/>
      <c r="F17" s="422">
        <f>IFERROR(((C17/P_OC)*VLOOKUP(B17,BioaccumParams!$B$8:$F$29,2,FALSE)),"n/a")</f>
        <v>3350</v>
      </c>
      <c r="G17" s="410"/>
      <c r="H17" s="422">
        <f>IFERROR(((C17/P_OC)*VLOOKUP(B17,BioaccumParams!$B$8:$F$29,4,FALSE)),"n/a")</f>
        <v>305000</v>
      </c>
      <c r="I17" s="416">
        <v>10</v>
      </c>
      <c r="J17" s="410" t="s">
        <v>95</v>
      </c>
      <c r="L17" s="57"/>
    </row>
    <row r="18" spans="2:12">
      <c r="B18" s="29" t="s">
        <v>67</v>
      </c>
      <c r="C18" s="410">
        <v>5000</v>
      </c>
      <c r="D18" s="410" t="s">
        <v>95</v>
      </c>
      <c r="E18" s="410"/>
      <c r="F18" s="422" t="str">
        <f>IFERROR(((C18/P_OC)*VLOOKUP(B18,BioaccumParams!$B$8:$F$29,2,FALSE)),"n/a")</f>
        <v>n/a</v>
      </c>
      <c r="G18" s="410"/>
      <c r="H18" s="422" t="str">
        <f>IFERROR(((C18/P_OC)*VLOOKUP(B18,BioaccumParams!$B$8:$F$29,4,FALSE)),"n/a")</f>
        <v>n/a</v>
      </c>
      <c r="I18" s="416">
        <v>10</v>
      </c>
      <c r="J18" s="410" t="s">
        <v>95</v>
      </c>
      <c r="L18" s="57"/>
    </row>
    <row r="19" spans="2:12">
      <c r="B19" s="29" t="s">
        <v>68</v>
      </c>
      <c r="C19" s="410">
        <v>6000</v>
      </c>
      <c r="D19" s="410" t="s">
        <v>95</v>
      </c>
      <c r="E19" s="410">
        <v>10</v>
      </c>
      <c r="F19" s="422" t="str">
        <f>IFERROR(((C19/P_OC)*VLOOKUP(B19,BioaccumParams!$B$8:$F$29,2,FALSE)),"n/a")</f>
        <v>n/a</v>
      </c>
      <c r="G19" s="410">
        <v>25</v>
      </c>
      <c r="H19" s="422" t="str">
        <f>IFERROR(((C19/P_OC)*VLOOKUP(B19,BioaccumParams!$B$8:$F$29,4,FALSE)),"n/a")</f>
        <v>n/a</v>
      </c>
      <c r="I19" s="416">
        <v>10</v>
      </c>
      <c r="J19" s="410" t="s">
        <v>95</v>
      </c>
      <c r="L19" s="57"/>
    </row>
    <row r="20" spans="2:12">
      <c r="B20" s="82" t="s">
        <v>76</v>
      </c>
      <c r="C20" s="411"/>
      <c r="D20" s="411"/>
      <c r="E20" s="412"/>
      <c r="F20" s="412"/>
      <c r="G20" s="412"/>
      <c r="H20" s="412"/>
      <c r="I20" s="412"/>
      <c r="J20" s="412"/>
    </row>
    <row r="21" spans="2:12">
      <c r="B21" s="29" t="s">
        <v>69</v>
      </c>
      <c r="C21" s="410">
        <v>1000</v>
      </c>
      <c r="D21" s="410" t="s">
        <v>94</v>
      </c>
      <c r="E21" s="410"/>
      <c r="F21" s="422">
        <f>IFERROR(((C21/P_OC)*VLOOKUP(B21,BioaccumParams!$B$8:$F$29,2,FALSE)),"n/a")</f>
        <v>40000</v>
      </c>
      <c r="G21" s="410">
        <v>5</v>
      </c>
      <c r="H21" s="422">
        <f>IFERROR(((C21/P_OC)*VLOOKUP(B21,BioaccumParams!$B$8:$F$29,4,FALSE)),"n/a")</f>
        <v>9200</v>
      </c>
      <c r="I21" s="416">
        <v>10</v>
      </c>
      <c r="J21" s="410" t="s">
        <v>94</v>
      </c>
    </row>
    <row r="22" spans="2:12">
      <c r="B22" s="29" t="s">
        <v>70</v>
      </c>
      <c r="C22" s="410">
        <v>2000</v>
      </c>
      <c r="D22" s="410" t="s">
        <v>95</v>
      </c>
      <c r="E22" s="410">
        <v>10</v>
      </c>
      <c r="F22" s="422">
        <f>IFERROR(((C22/P_OC)*VLOOKUP(B22,BioaccumParams!$B$8:$F$29,2,FALSE)),"n/a")</f>
        <v>17400</v>
      </c>
      <c r="G22" s="410"/>
      <c r="H22" s="422">
        <f>IFERROR(((C22/P_OC)*VLOOKUP(B22,BioaccumParams!$B$8:$F$29,4,FALSE)),"n/a")</f>
        <v>68000</v>
      </c>
      <c r="I22" s="416">
        <v>10</v>
      </c>
      <c r="J22" s="410" t="s">
        <v>95</v>
      </c>
    </row>
    <row r="23" spans="2:12">
      <c r="B23" s="29" t="s">
        <v>37</v>
      </c>
      <c r="C23" s="410">
        <v>3000</v>
      </c>
      <c r="D23" s="410" t="s">
        <v>94</v>
      </c>
      <c r="E23" s="410"/>
      <c r="F23" s="422">
        <f>IFERROR(((C23/P_OC)*VLOOKUP(B23,BioaccumParams!$B$8:$F$29,2,FALSE)),"n/a")</f>
        <v>13800</v>
      </c>
      <c r="G23" s="410">
        <v>8</v>
      </c>
      <c r="H23" s="422">
        <f>IFERROR(((C23/P_OC)*VLOOKUP(B23,BioaccumParams!$B$8:$F$29,4,FALSE)),"n/a")</f>
        <v>165000</v>
      </c>
      <c r="I23" s="416">
        <v>10</v>
      </c>
      <c r="J23" s="410" t="s">
        <v>94</v>
      </c>
    </row>
    <row r="24" spans="2:12">
      <c r="B24" s="127" t="s">
        <v>71</v>
      </c>
      <c r="C24" s="410">
        <v>1000</v>
      </c>
      <c r="D24" s="413" t="s">
        <v>95</v>
      </c>
      <c r="E24" s="413"/>
      <c r="F24" s="422">
        <f>IFERROR(((C24/P_OC)*VLOOKUP(B24,BioaccumParams!$B$8:$F$29,2,FALSE)),"n/a")</f>
        <v>180</v>
      </c>
      <c r="G24" s="413"/>
      <c r="H24" s="422">
        <f>IFERROR(((C24/P_OC)*VLOOKUP(B24,BioaccumParams!$B$8:$F$29,4,FALSE)),"n/a")</f>
        <v>1700.0000000000002</v>
      </c>
      <c r="I24" s="416">
        <v>10</v>
      </c>
      <c r="J24" s="413" t="s">
        <v>95</v>
      </c>
    </row>
    <row r="25" spans="2:12">
      <c r="B25" s="82" t="s">
        <v>77</v>
      </c>
      <c r="C25" s="411"/>
      <c r="D25" s="411"/>
      <c r="E25" s="412"/>
      <c r="F25" s="423"/>
      <c r="G25" s="412"/>
      <c r="H25" s="423"/>
      <c r="I25" s="412"/>
      <c r="J25" s="412"/>
    </row>
    <row r="26" spans="2:12">
      <c r="B26" s="129" t="s">
        <v>72</v>
      </c>
      <c r="C26" s="410">
        <v>1000</v>
      </c>
      <c r="D26" s="414" t="s">
        <v>95</v>
      </c>
      <c r="E26" s="414"/>
      <c r="F26" s="422">
        <f>IFERROR(((C26/P_OC)*VLOOKUP(B26,BioaccumParams!$B$8:$F$29,2,FALSE)),"n/a")</f>
        <v>33</v>
      </c>
      <c r="G26" s="414"/>
      <c r="H26" s="422" t="str">
        <f>IFERROR(((C26/P_OC)*VLOOKUP(B26,BioaccumParams!$B$8:$F$29,4,FALSE)),"n/a")</f>
        <v>n/a</v>
      </c>
      <c r="I26" s="416">
        <v>10</v>
      </c>
      <c r="J26" s="414" t="s">
        <v>95</v>
      </c>
    </row>
    <row r="27" spans="2:12">
      <c r="B27" s="82" t="s">
        <v>78</v>
      </c>
      <c r="C27" s="411"/>
      <c r="D27" s="411"/>
      <c r="E27" s="411"/>
      <c r="F27" s="423"/>
      <c r="G27" s="411"/>
      <c r="H27" s="423"/>
      <c r="I27" s="412"/>
      <c r="J27" s="411"/>
    </row>
    <row r="28" spans="2:12">
      <c r="B28" s="128" t="s">
        <v>73</v>
      </c>
      <c r="C28" s="410">
        <v>1000</v>
      </c>
      <c r="D28" s="415" t="s">
        <v>94</v>
      </c>
      <c r="E28" s="415">
        <v>10</v>
      </c>
      <c r="F28" s="422" t="str">
        <f>IFERROR(((C28/P_OC)*VLOOKUP(B28,BioaccumParams!$B$8:$F$29,2,FALSE)),"n/a")</f>
        <v>n/a</v>
      </c>
      <c r="G28" s="415">
        <v>45</v>
      </c>
      <c r="H28" s="422">
        <f>IFERROR(((C28/P_OC)*VLOOKUP(B28,BioaccumParams!$B$8:$F$29,4,FALSE)),"n/a")</f>
        <v>8400</v>
      </c>
      <c r="I28" s="416">
        <v>10</v>
      </c>
      <c r="J28" s="415" t="s">
        <v>94</v>
      </c>
    </row>
    <row r="29" spans="2:12">
      <c r="B29" s="29" t="s">
        <v>74</v>
      </c>
      <c r="C29" s="410">
        <v>1000</v>
      </c>
      <c r="D29" s="410" t="s">
        <v>95</v>
      </c>
      <c r="E29" s="410"/>
      <c r="F29" s="422" t="str">
        <f>IFERROR(((C29/P_OC)*VLOOKUP(B29,BioaccumParams!$B$8:$F$29,2,FALSE)),"n/a")</f>
        <v>n/a</v>
      </c>
      <c r="G29" s="410"/>
      <c r="H29" s="422" t="str">
        <f>IFERROR(((C29/P_OC)*VLOOKUP(B29,BioaccumParams!$B$8:$F$29,4,FALSE)),"n/a")</f>
        <v>n/a</v>
      </c>
      <c r="I29" s="416">
        <v>10</v>
      </c>
      <c r="J29" s="410" t="s">
        <v>95</v>
      </c>
    </row>
    <row r="30" spans="2:12" ht="14.4">
      <c r="B30"/>
      <c r="C30"/>
      <c r="D30"/>
      <c r="E30"/>
      <c r="F30"/>
      <c r="G30"/>
      <c r="H30" s="256"/>
      <c r="I30"/>
      <c r="J30" s="256"/>
    </row>
    <row r="31" spans="2:12">
      <c r="B31" s="30" t="s">
        <v>422</v>
      </c>
    </row>
    <row r="32" spans="2:12">
      <c r="B32" s="233" t="s">
        <v>259</v>
      </c>
    </row>
    <row r="33" spans="2:2">
      <c r="B33" s="233" t="s">
        <v>447</v>
      </c>
    </row>
    <row r="34" spans="2:2">
      <c r="B34" s="233" t="s">
        <v>223</v>
      </c>
    </row>
    <row r="35" spans="2:2">
      <c r="B35" s="233" t="s">
        <v>45</v>
      </c>
    </row>
    <row r="36" spans="2:2">
      <c r="B36" s="233" t="s">
        <v>448</v>
      </c>
    </row>
    <row r="37" spans="2:2">
      <c r="B37" s="233" t="s">
        <v>444</v>
      </c>
    </row>
    <row r="38" spans="2:2">
      <c r="B38" s="233" t="s">
        <v>445</v>
      </c>
    </row>
    <row r="39" spans="2:2">
      <c r="B39" s="233" t="s">
        <v>446</v>
      </c>
    </row>
    <row r="40" spans="2:2">
      <c r="B40" s="345" t="s">
        <v>502</v>
      </c>
    </row>
  </sheetData>
  <mergeCells count="5">
    <mergeCell ref="B6:B7"/>
    <mergeCell ref="G6:H6"/>
    <mergeCell ref="E6:F6"/>
    <mergeCell ref="I6:J6"/>
    <mergeCell ref="C6:D6"/>
  </mergeCells>
  <conditionalFormatting sqref="I7:I29">
    <cfRule type="expression" dxfId="247" priority="4">
      <formula>ISBLANK(surface_water)</formula>
    </cfRule>
  </conditionalFormatting>
  <conditionalFormatting sqref="J7:J30">
    <cfRule type="expression" dxfId="246" priority="3">
      <formula>ISBLANK(surface_water)</formula>
    </cfRule>
  </conditionalFormatting>
  <conditionalFormatting sqref="I6:J6">
    <cfRule type="expression" dxfId="245" priority="2">
      <formula>ISBLANK(surface_water)</formula>
    </cfRule>
  </conditionalFormatting>
  <conditionalFormatting sqref="F9:F29 H9:H29">
    <cfRule type="cellIs" dxfId="244" priority="1" operator="equal">
      <formula>0</formula>
    </cfRule>
  </conditionalFormatting>
  <pageMargins left="0.7" right="0.7" top="0.75" bottom="0.75" header="0.3" footer="0.3"/>
  <pageSetup scale="82" orientation="landscape" horizontalDpi="1200" verticalDpi="1200"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FF"/>
    <pageSetUpPr fitToPage="1"/>
  </sheetPr>
  <dimension ref="B1:Q41"/>
  <sheetViews>
    <sheetView view="pageBreakPreview" topLeftCell="A2" zoomScale="85" zoomScaleNormal="100" zoomScaleSheetLayoutView="85" workbookViewId="0">
      <selection activeCell="B5" sqref="B5:B6"/>
    </sheetView>
  </sheetViews>
  <sheetFormatPr defaultColWidth="9.21875" defaultRowHeight="13.2" outlineLevelRow="1"/>
  <cols>
    <col min="1" max="1" width="4.21875" style="14" customWidth="1"/>
    <col min="2" max="2" width="30.44140625" style="14" bestFit="1" customWidth="1"/>
    <col min="3" max="3" width="12.44140625" style="14" customWidth="1"/>
    <col min="4" max="7" width="12.21875" style="18" customWidth="1"/>
    <col min="8" max="8" width="12.77734375" style="14" customWidth="1"/>
    <col min="9" max="10" width="9.21875" style="14"/>
    <col min="11" max="11" width="15.21875" style="14" customWidth="1"/>
    <col min="12" max="16384" width="9.21875" style="14"/>
  </cols>
  <sheetData>
    <row r="1" spans="2:17" hidden="1" outlineLevel="1">
      <c r="B1" s="302"/>
      <c r="C1" s="302"/>
      <c r="D1" s="302"/>
      <c r="E1" s="302"/>
      <c r="F1" s="302"/>
      <c r="G1" s="302"/>
      <c r="H1" s="302"/>
    </row>
    <row r="2" spans="2:17" collapsed="1">
      <c r="B2" s="302">
        <v>1</v>
      </c>
      <c r="C2" s="302">
        <v>2</v>
      </c>
      <c r="D2" s="302">
        <v>3</v>
      </c>
      <c r="E2" s="302">
        <v>4</v>
      </c>
      <c r="F2" s="302">
        <v>5</v>
      </c>
      <c r="G2" s="302">
        <v>6</v>
      </c>
      <c r="H2" s="302">
        <v>9</v>
      </c>
    </row>
    <row r="3" spans="2:17">
      <c r="B3" s="15" t="str">
        <f>Site</f>
        <v>Test Site #1</v>
      </c>
      <c r="D3" s="14"/>
      <c r="E3" s="14"/>
      <c r="F3" s="14"/>
      <c r="G3" s="14"/>
    </row>
    <row r="4" spans="2:17" ht="14.4">
      <c r="B4" s="15" t="str">
        <f>Title4</f>
        <v xml:space="preserve">Table 4: Exposure Point Concentrations for All Media  </v>
      </c>
      <c r="D4"/>
      <c r="E4"/>
      <c r="F4"/>
      <c r="G4"/>
      <c r="H4"/>
    </row>
    <row r="5" spans="2:17" ht="40.5" customHeight="1">
      <c r="B5" s="473" t="s">
        <v>52</v>
      </c>
      <c r="C5" s="473" t="s">
        <v>430</v>
      </c>
      <c r="D5" s="474" t="s">
        <v>428</v>
      </c>
      <c r="E5" s="474"/>
      <c r="F5" s="474" t="s">
        <v>468</v>
      </c>
      <c r="G5" s="474"/>
      <c r="H5" s="473" t="s">
        <v>453</v>
      </c>
    </row>
    <row r="6" spans="2:17" ht="15.6">
      <c r="B6" s="473"/>
      <c r="C6" s="478"/>
      <c r="D6" s="280" t="s">
        <v>53</v>
      </c>
      <c r="E6" s="280" t="s">
        <v>426</v>
      </c>
      <c r="F6" s="280" t="s">
        <v>53</v>
      </c>
      <c r="G6" s="280" t="s">
        <v>426</v>
      </c>
      <c r="H6" s="473"/>
    </row>
    <row r="7" spans="2:17">
      <c r="B7" s="263" t="s">
        <v>75</v>
      </c>
      <c r="C7" s="254" t="s">
        <v>429</v>
      </c>
      <c r="D7" s="255" t="s">
        <v>427</v>
      </c>
      <c r="E7" s="277"/>
      <c r="F7" s="255" t="s">
        <v>427</v>
      </c>
      <c r="G7" s="277"/>
      <c r="H7" s="255" t="s">
        <v>431</v>
      </c>
    </row>
    <row r="8" spans="2:17">
      <c r="B8" s="25" t="s">
        <v>59</v>
      </c>
      <c r="C8" s="417">
        <f>S_PFBA</f>
        <v>1000</v>
      </c>
      <c r="D8" s="419">
        <f>IF(ISBLANK('Data Input &amp; FWM'!E9),'Data Input &amp; FWM'!F9,'Data Input &amp; FWM'!E9)</f>
        <v>22000</v>
      </c>
      <c r="E8" s="72" t="str">
        <f>IF(OR(D8=0,D8="n/a"),"n/a",IF(ISBLANK('Data Input &amp; FWM'!E9),"Modeled","Measured"))</f>
        <v>Modeled</v>
      </c>
      <c r="F8" s="419" t="str">
        <f>IF(ISBLANK('Data Input &amp; FWM'!G9),'Data Input &amp; FWM'!H9,'Data Input &amp; FWM'!G9)</f>
        <v>n/a</v>
      </c>
      <c r="G8" s="72" t="str">
        <f>IF(OR(F8=0,F8="n/a"),"n/a",IF(ISBLANK('Data Input &amp; FWM'!G9),"Modeled","Measured"))</f>
        <v>n/a</v>
      </c>
      <c r="H8" s="421">
        <f>W_PFBA</f>
        <v>10</v>
      </c>
      <c r="I8" s="26"/>
    </row>
    <row r="9" spans="2:17">
      <c r="B9" s="27" t="s">
        <v>60</v>
      </c>
      <c r="C9" s="417">
        <f>S_PFPeA</f>
        <v>1000</v>
      </c>
      <c r="D9" s="419">
        <f>IF(ISBLANK('Data Input &amp; FWM'!E10),'Data Input &amp; FWM'!F10,'Data Input &amp; FWM'!E10)</f>
        <v>130000</v>
      </c>
      <c r="E9" s="72" t="str">
        <f>IF(OR(D9=0,D9="n/a"),"n/a",IF(ISBLANK('Data Input &amp; FWM'!E10),"Modeled","Measured"))</f>
        <v>Modeled</v>
      </c>
      <c r="F9" s="419">
        <f>IF(ISBLANK('Data Input &amp; FWM'!G10),'Data Input &amp; FWM'!H10,'Data Input &amp; FWM'!G10)</f>
        <v>340</v>
      </c>
      <c r="G9" s="72" t="str">
        <f>IF(OR(F9=0,F9="n/a"),"n/a",IF(ISBLANK('Data Input &amp; FWM'!G10),"Modeled","Measured"))</f>
        <v>Modeled</v>
      </c>
      <c r="H9" s="421">
        <f>W_PFPeA</f>
        <v>10</v>
      </c>
    </row>
    <row r="10" spans="2:17">
      <c r="B10" s="27" t="s">
        <v>61</v>
      </c>
      <c r="C10" s="417">
        <f>S_PFHxA</f>
        <v>2000</v>
      </c>
      <c r="D10" s="419">
        <f>IF(ISBLANK('Data Input &amp; FWM'!E11),'Data Input &amp; FWM'!F11,'Data Input &amp; FWM'!E11)</f>
        <v>5</v>
      </c>
      <c r="E10" s="72" t="str">
        <f>IF(OR(D10=0,D10="n/a"),"n/a",IF(ISBLANK('Data Input &amp; FWM'!E11),"Modeled","Measured"))</f>
        <v>Measured</v>
      </c>
      <c r="F10" s="419">
        <f>IF(ISBLANK('Data Input &amp; FWM'!G11),'Data Input &amp; FWM'!H11,'Data Input &amp; FWM'!G11)</f>
        <v>60</v>
      </c>
      <c r="G10" s="72" t="str">
        <f>IF(OR(F10=0,F10="n/a"),"n/a",IF(ISBLANK('Data Input &amp; FWM'!G11),"Modeled","Measured"))</f>
        <v>Measured</v>
      </c>
      <c r="H10" s="421">
        <f>W_PFHxA</f>
        <v>10</v>
      </c>
      <c r="K10" s="28"/>
      <c r="L10" s="28"/>
      <c r="M10" s="28"/>
      <c r="N10" s="28"/>
    </row>
    <row r="11" spans="2:17">
      <c r="B11" s="27" t="s">
        <v>62</v>
      </c>
      <c r="C11" s="417">
        <f>S_PFHpA</f>
        <v>2000</v>
      </c>
      <c r="D11" s="419">
        <f>IF(ISBLANK('Data Input &amp; FWM'!E12),'Data Input &amp; FWM'!F12,'Data Input &amp; FWM'!E12)</f>
        <v>18800</v>
      </c>
      <c r="E11" s="72" t="str">
        <f>IF(OR(D11=0,D11="n/a"),"n/a",IF(ISBLANK('Data Input &amp; FWM'!E12),"Modeled","Measured"))</f>
        <v>Modeled</v>
      </c>
      <c r="F11" s="419">
        <f>IF(ISBLANK('Data Input &amp; FWM'!G12),'Data Input &amp; FWM'!H12,'Data Input &amp; FWM'!G12)</f>
        <v>2400</v>
      </c>
      <c r="G11" s="72" t="str">
        <f>IF(OR(F11=0,F11="n/a"),"n/a",IF(ISBLANK('Data Input &amp; FWM'!G12),"Modeled","Measured"))</f>
        <v>Modeled</v>
      </c>
      <c r="H11" s="421">
        <f>W_PFHpA</f>
        <v>30</v>
      </c>
    </row>
    <row r="12" spans="2:17">
      <c r="B12" s="27" t="s">
        <v>38</v>
      </c>
      <c r="C12" s="417">
        <f>S_PFOA</f>
        <v>3000</v>
      </c>
      <c r="D12" s="419">
        <f>IF(ISBLANK('Data Input &amp; FWM'!E13),'Data Input &amp; FWM'!F13,'Data Input &amp; FWM'!E13)</f>
        <v>10</v>
      </c>
      <c r="E12" s="72" t="str">
        <f>IF(OR(D12=0,D12="n/a"),"n/a",IF(ISBLANK('Data Input &amp; FWM'!E13),"Modeled","Measured"))</f>
        <v>Measured</v>
      </c>
      <c r="F12" s="419">
        <f>IF(ISBLANK('Data Input &amp; FWM'!G13),'Data Input &amp; FWM'!H13,'Data Input &amp; FWM'!G13)</f>
        <v>1</v>
      </c>
      <c r="G12" s="72" t="str">
        <f>IF(OR(F12=0,F12="n/a"),"n/a",IF(ISBLANK('Data Input &amp; FWM'!G13),"Modeled","Measured"))</f>
        <v>Measured</v>
      </c>
      <c r="H12" s="421">
        <f>W_PFOA</f>
        <v>10</v>
      </c>
    </row>
    <row r="13" spans="2:17">
      <c r="B13" s="27" t="s">
        <v>63</v>
      </c>
      <c r="C13" s="417">
        <f>S_PFNA</f>
        <v>3000</v>
      </c>
      <c r="D13" s="419">
        <f>IF(ISBLANK('Data Input &amp; FWM'!E14),'Data Input &amp; FWM'!F14,'Data Input &amp; FWM'!E14)</f>
        <v>3600</v>
      </c>
      <c r="E13" s="72" t="str">
        <f>IF(OR(D13=0,D13="n/a"),"n/a",IF(ISBLANK('Data Input &amp; FWM'!E14),"Modeled","Measured"))</f>
        <v>Modeled</v>
      </c>
      <c r="F13" s="419">
        <f>IF(ISBLANK('Data Input &amp; FWM'!G14),'Data Input &amp; FWM'!H14,'Data Input &amp; FWM'!G14)</f>
        <v>27300</v>
      </c>
      <c r="G13" s="72" t="str">
        <f>IF(OR(F13=0,F13="n/a"),"n/a",IF(ISBLANK('Data Input &amp; FWM'!G14),"Modeled","Measured"))</f>
        <v>Modeled</v>
      </c>
      <c r="H13" s="421">
        <f>W_PFNA</f>
        <v>10</v>
      </c>
    </row>
    <row r="14" spans="2:17">
      <c r="B14" s="27" t="s">
        <v>64</v>
      </c>
      <c r="C14" s="417">
        <f>S_PFDA</f>
        <v>4000</v>
      </c>
      <c r="D14" s="419">
        <f>IF(ISBLANK('Data Input &amp; FWM'!E15),'Data Input &amp; FWM'!F15,'Data Input &amp; FWM'!E15)</f>
        <v>3360</v>
      </c>
      <c r="E14" s="72" t="str">
        <f>IF(OR(D14=0,D14="n/a"),"n/a",IF(ISBLANK('Data Input &amp; FWM'!E15),"Modeled","Measured"))</f>
        <v>Modeled</v>
      </c>
      <c r="F14" s="419">
        <f>IF(ISBLANK('Data Input &amp; FWM'!G15),'Data Input &amp; FWM'!H15,'Data Input &amp; FWM'!G15)</f>
        <v>104000</v>
      </c>
      <c r="G14" s="72" t="str">
        <f>IF(OR(F14=0,F14="n/a"),"n/a",IF(ISBLANK('Data Input &amp; FWM'!G15),"Modeled","Measured"))</f>
        <v>Modeled</v>
      </c>
      <c r="H14" s="421">
        <f>W_PFDA</f>
        <v>10</v>
      </c>
    </row>
    <row r="15" spans="2:17">
      <c r="B15" s="27" t="s">
        <v>65</v>
      </c>
      <c r="C15" s="417">
        <f>S_PFUnDA</f>
        <v>4000</v>
      </c>
      <c r="D15" s="419">
        <f>IF(ISBLANK('Data Input &amp; FWM'!E16),'Data Input &amp; FWM'!F16,'Data Input &amp; FWM'!E16)</f>
        <v>3040</v>
      </c>
      <c r="E15" s="72" t="str">
        <f>IF(OR(D15=0,D15="n/a"),"n/a",IF(ISBLANK('Data Input &amp; FWM'!E16),"Modeled","Measured"))</f>
        <v>Modeled</v>
      </c>
      <c r="F15" s="419">
        <f>IF(ISBLANK('Data Input &amp; FWM'!G16),'Data Input &amp; FWM'!H16,'Data Input &amp; FWM'!G16)</f>
        <v>156000</v>
      </c>
      <c r="G15" s="72" t="str">
        <f>IF(OR(F15=0,F15="n/a"),"n/a",IF(ISBLANK('Data Input &amp; FWM'!G16),"Modeled","Measured"))</f>
        <v>Modeled</v>
      </c>
      <c r="H15" s="421">
        <f>W_PFUnDA</f>
        <v>10</v>
      </c>
      <c r="K15" s="56"/>
      <c r="L15" s="56"/>
      <c r="M15" s="56"/>
      <c r="N15" s="56"/>
      <c r="O15" s="56"/>
      <c r="P15" s="56"/>
      <c r="Q15" s="56"/>
    </row>
    <row r="16" spans="2:17">
      <c r="B16" s="27" t="s">
        <v>66</v>
      </c>
      <c r="C16" s="417">
        <f>S_PFDoDA</f>
        <v>5000</v>
      </c>
      <c r="D16" s="419">
        <f>IF(ISBLANK('Data Input &amp; FWM'!E17),'Data Input &amp; FWM'!F17,'Data Input &amp; FWM'!E17)</f>
        <v>3350</v>
      </c>
      <c r="E16" s="72" t="str">
        <f>IF(OR(D16=0,D16="n/a"),"n/a",IF(ISBLANK('Data Input &amp; FWM'!E17),"Modeled","Measured"))</f>
        <v>Modeled</v>
      </c>
      <c r="F16" s="419">
        <f>IF(ISBLANK('Data Input &amp; FWM'!G17),'Data Input &amp; FWM'!H17,'Data Input &amp; FWM'!G17)</f>
        <v>305000</v>
      </c>
      <c r="G16" s="72" t="str">
        <f>IF(OR(F16=0,F16="n/a"),"n/a",IF(ISBLANK('Data Input &amp; FWM'!G17),"Modeled","Measured"))</f>
        <v>Modeled</v>
      </c>
      <c r="H16" s="421">
        <f>W_PFDoDA</f>
        <v>10</v>
      </c>
      <c r="K16" s="56"/>
      <c r="L16" s="56"/>
      <c r="M16" s="56"/>
      <c r="N16" s="56"/>
      <c r="O16" s="56"/>
      <c r="P16" s="56"/>
      <c r="Q16" s="56"/>
    </row>
    <row r="17" spans="2:8">
      <c r="B17" s="27" t="s">
        <v>67</v>
      </c>
      <c r="C17" s="417">
        <f>S_PFTrDA</f>
        <v>5000</v>
      </c>
      <c r="D17" s="419" t="str">
        <f>IF(ISBLANK('Data Input &amp; FWM'!E18),'Data Input &amp; FWM'!F18,'Data Input &amp; FWM'!E18)</f>
        <v>n/a</v>
      </c>
      <c r="E17" s="72" t="str">
        <f>IF(OR(D17=0,D17="n/a"),"n/a",IF(ISBLANK('Data Input &amp; FWM'!E18),"Modeled","Measured"))</f>
        <v>n/a</v>
      </c>
      <c r="F17" s="419" t="str">
        <f>IF(ISBLANK('Data Input &amp; FWM'!G18),'Data Input &amp; FWM'!H18,'Data Input &amp; FWM'!G18)</f>
        <v>n/a</v>
      </c>
      <c r="G17" s="72" t="str">
        <f>IF(OR(F17=0,F17="n/a"),"n/a",IF(ISBLANK('Data Input &amp; FWM'!G18),"Modeled","Measured"))</f>
        <v>n/a</v>
      </c>
      <c r="H17" s="421">
        <f>W_PFTrDA</f>
        <v>10</v>
      </c>
    </row>
    <row r="18" spans="2:8">
      <c r="B18" s="29" t="s">
        <v>68</v>
      </c>
      <c r="C18" s="417">
        <f>S_PFTeDA</f>
        <v>6000</v>
      </c>
      <c r="D18" s="419">
        <f>IF(ISBLANK('Data Input &amp; FWM'!E19),'Data Input &amp; FWM'!F19,'Data Input &amp; FWM'!E19)</f>
        <v>10</v>
      </c>
      <c r="E18" s="72" t="str">
        <f>IF(OR(D18=0,D18="n/a"),"n/a",IF(ISBLANK('Data Input &amp; FWM'!E19),"Modeled","Measured"))</f>
        <v>Measured</v>
      </c>
      <c r="F18" s="419">
        <f>IF(ISBLANK('Data Input &amp; FWM'!G19),'Data Input &amp; FWM'!H19,'Data Input &amp; FWM'!G19)</f>
        <v>25</v>
      </c>
      <c r="G18" s="72" t="str">
        <f>IF(OR(F18=0,F18="n/a"),"n/a",IF(ISBLANK('Data Input &amp; FWM'!G19),"Modeled","Measured"))</f>
        <v>Measured</v>
      </c>
      <c r="H18" s="421">
        <f>W_PFTeDA</f>
        <v>10</v>
      </c>
    </row>
    <row r="19" spans="2:8">
      <c r="B19" s="263" t="s">
        <v>76</v>
      </c>
      <c r="C19" s="418"/>
      <c r="D19" s="420"/>
      <c r="E19" s="277"/>
      <c r="F19" s="420"/>
      <c r="G19" s="277"/>
      <c r="H19" s="420"/>
    </row>
    <row r="20" spans="2:8">
      <c r="B20" s="27" t="s">
        <v>69</v>
      </c>
      <c r="C20" s="417">
        <f>S_PFBS</f>
        <v>1000</v>
      </c>
      <c r="D20" s="419">
        <f>IF(ISBLANK('Data Input &amp; FWM'!E21),'Data Input &amp; FWM'!F21,'Data Input &amp; FWM'!E21)</f>
        <v>40000</v>
      </c>
      <c r="E20" s="72" t="str">
        <f>IF(OR(D20=0,D20="n/a"),"n/a",IF(ISBLANK('Data Input &amp; FWM'!E21),"Modeled","Measured"))</f>
        <v>Modeled</v>
      </c>
      <c r="F20" s="419">
        <f>IF(ISBLANK('Data Input &amp; FWM'!G21),'Data Input &amp; FWM'!H21,'Data Input &amp; FWM'!G21)</f>
        <v>5</v>
      </c>
      <c r="G20" s="72" t="str">
        <f>IF(OR(F20=0,F20="n/a"),"n/a",IF(ISBLANK('Data Input &amp; FWM'!G21),"Modeled","Measured"))</f>
        <v>Measured</v>
      </c>
      <c r="H20" s="421">
        <f>W_PFBS</f>
        <v>10</v>
      </c>
    </row>
    <row r="21" spans="2:8">
      <c r="B21" s="27" t="s">
        <v>70</v>
      </c>
      <c r="C21" s="417">
        <f>S_PFHxS</f>
        <v>2000</v>
      </c>
      <c r="D21" s="419">
        <f>IF(ISBLANK('Data Input &amp; FWM'!E22),'Data Input &amp; FWM'!F22,'Data Input &amp; FWM'!E22)</f>
        <v>10</v>
      </c>
      <c r="E21" s="72" t="str">
        <f>IF(OR(D21=0,D21="n/a"),"n/a",IF(ISBLANK('Data Input &amp; FWM'!E22),"Modeled","Measured"))</f>
        <v>Measured</v>
      </c>
      <c r="F21" s="419">
        <f>IF(ISBLANK('Data Input &amp; FWM'!G22),'Data Input &amp; FWM'!H22,'Data Input &amp; FWM'!G22)</f>
        <v>68000</v>
      </c>
      <c r="G21" s="72" t="str">
        <f>IF(OR(F21=0,F21="n/a"),"n/a",IF(ISBLANK('Data Input &amp; FWM'!G22),"Modeled","Measured"))</f>
        <v>Modeled</v>
      </c>
      <c r="H21" s="421">
        <f>W_PFHxS</f>
        <v>10</v>
      </c>
    </row>
    <row r="22" spans="2:8">
      <c r="B22" s="27" t="s">
        <v>37</v>
      </c>
      <c r="C22" s="417">
        <f>S_PFOS</f>
        <v>3000</v>
      </c>
      <c r="D22" s="419">
        <f>IF(ISBLANK('Data Input &amp; FWM'!E23),'Data Input &amp; FWM'!F23,'Data Input &amp; FWM'!E23)</f>
        <v>13800</v>
      </c>
      <c r="E22" s="72" t="str">
        <f>IF(OR(D22=0,D22="n/a"),"n/a",IF(ISBLANK('Data Input &amp; FWM'!E23),"Modeled","Measured"))</f>
        <v>Modeled</v>
      </c>
      <c r="F22" s="419">
        <f>IF(ISBLANK('Data Input &amp; FWM'!G23),'Data Input &amp; FWM'!H23,'Data Input &amp; FWM'!G23)</f>
        <v>8</v>
      </c>
      <c r="G22" s="72" t="str">
        <f>IF(OR(F22=0,F22="n/a"),"n/a",IF(ISBLANK('Data Input &amp; FWM'!G23),"Modeled","Measured"))</f>
        <v>Measured</v>
      </c>
      <c r="H22" s="421">
        <f>W_PFOS</f>
        <v>10</v>
      </c>
    </row>
    <row r="23" spans="2:8">
      <c r="B23" s="27" t="s">
        <v>71</v>
      </c>
      <c r="C23" s="417">
        <f>S_PFDS</f>
        <v>1000</v>
      </c>
      <c r="D23" s="419">
        <f>IF(ISBLANK('Data Input &amp; FWM'!E24),'Data Input &amp; FWM'!F24,'Data Input &amp; FWM'!E24)</f>
        <v>180</v>
      </c>
      <c r="E23" s="72" t="str">
        <f>IF(OR(D23=0,D23="n/a"),"n/a",IF(ISBLANK('Data Input &amp; FWM'!E24),"Modeled","Measured"))</f>
        <v>Modeled</v>
      </c>
      <c r="F23" s="419">
        <f>IF(ISBLANK('Data Input &amp; FWM'!G24),'Data Input &amp; FWM'!H24,'Data Input &amp; FWM'!G24)</f>
        <v>1700.0000000000002</v>
      </c>
      <c r="G23" s="72" t="str">
        <f>IF(OR(F23=0,F23="n/a"),"n/a",IF(ISBLANK('Data Input &amp; FWM'!G24),"Modeled","Measured"))</f>
        <v>Modeled</v>
      </c>
      <c r="H23" s="421">
        <f>W_PFDS</f>
        <v>10</v>
      </c>
    </row>
    <row r="24" spans="2:8">
      <c r="B24" s="263" t="s">
        <v>77</v>
      </c>
      <c r="C24" s="418"/>
      <c r="D24" s="420"/>
      <c r="E24" s="277"/>
      <c r="F24" s="420"/>
      <c r="G24" s="277"/>
      <c r="H24" s="420"/>
    </row>
    <row r="25" spans="2:8">
      <c r="B25" s="29" t="s">
        <v>72</v>
      </c>
      <c r="C25" s="417">
        <f>S_PFOSA</f>
        <v>1000</v>
      </c>
      <c r="D25" s="419">
        <f>IF(ISBLANK('Data Input &amp; FWM'!E26),'Data Input &amp; FWM'!F26,'Data Input &amp; FWM'!E26)</f>
        <v>33</v>
      </c>
      <c r="E25" s="72" t="str">
        <f>IF(OR(D25=0,D25="n/a"),"n/a",IF(ISBLANK('Data Input &amp; FWM'!E26),"Modeled","Measured"))</f>
        <v>Modeled</v>
      </c>
      <c r="F25" s="419" t="str">
        <f>IF(ISBLANK('Data Input &amp; FWM'!G26),'Data Input &amp; FWM'!H26,'Data Input &amp; FWM'!G26)</f>
        <v>n/a</v>
      </c>
      <c r="G25" s="72" t="str">
        <f>IF(OR(F25=0,F25="n/a"),"n/a",IF(ISBLANK('Data Input &amp; FWM'!G26),"Modeled","Measured"))</f>
        <v>n/a</v>
      </c>
      <c r="H25" s="421">
        <f>W_PFOSA</f>
        <v>10</v>
      </c>
    </row>
    <row r="26" spans="2:8">
      <c r="B26" s="263" t="s">
        <v>78</v>
      </c>
      <c r="C26" s="418"/>
      <c r="D26" s="420"/>
      <c r="E26" s="277"/>
      <c r="F26" s="420"/>
      <c r="G26" s="277"/>
      <c r="H26" s="420"/>
    </row>
    <row r="27" spans="2:8">
      <c r="B27" s="27" t="s">
        <v>73</v>
      </c>
      <c r="C27" s="417">
        <f>S_NEtFOSAA</f>
        <v>1000</v>
      </c>
      <c r="D27" s="419">
        <f>IF(ISBLANK('Data Input &amp; FWM'!E28),'Data Input &amp; FWM'!F28,'Data Input &amp; FWM'!E28)</f>
        <v>10</v>
      </c>
      <c r="E27" s="72" t="str">
        <f>IF(OR(D27=0,D27="n/a"),"n/a",IF(ISBLANK('Data Input &amp; FWM'!E28),"Modeled","Measured"))</f>
        <v>Measured</v>
      </c>
      <c r="F27" s="419">
        <f>IF(ISBLANK('Data Input &amp; FWM'!G28),'Data Input &amp; FWM'!H28,'Data Input &amp; FWM'!G28)</f>
        <v>45</v>
      </c>
      <c r="G27" s="72" t="str">
        <f>IF(OR(F27=0,F27="n/a"),"n/a",IF(ISBLANK('Data Input &amp; FWM'!G28),"Modeled","Measured"))</f>
        <v>Measured</v>
      </c>
      <c r="H27" s="421">
        <f>W_NEtFOSAA</f>
        <v>10</v>
      </c>
    </row>
    <row r="28" spans="2:8">
      <c r="B28" s="29" t="s">
        <v>74</v>
      </c>
      <c r="C28" s="417">
        <f>S_NMeFOSAA</f>
        <v>1000</v>
      </c>
      <c r="D28" s="419" t="str">
        <f>IF(ISBLANK('Data Input &amp; FWM'!E29),'Data Input &amp; FWM'!F29,'Data Input &amp; FWM'!E29)</f>
        <v>n/a</v>
      </c>
      <c r="E28" s="72" t="str">
        <f>IF(OR(D28=0,D28="n/a"),"n/a",IF(ISBLANK('Data Input &amp; FWM'!E29),"Modeled","Measured"))</f>
        <v>n/a</v>
      </c>
      <c r="F28" s="419" t="str">
        <f>IF(ISBLANK('Data Input &amp; FWM'!G29),'Data Input &amp; FWM'!H29,'Data Input &amp; FWM'!G29)</f>
        <v>n/a</v>
      </c>
      <c r="G28" s="72" t="str">
        <f>IF(OR(F28=0,F28="n/a"),"n/a",IF(ISBLANK('Data Input &amp; FWM'!G29),"Modeled","Measured"))</f>
        <v>n/a</v>
      </c>
      <c r="H28" s="421">
        <f>W_NMeFOSAA</f>
        <v>10</v>
      </c>
    </row>
    <row r="29" spans="2:8">
      <c r="B29" s="161"/>
      <c r="C29" s="162"/>
      <c r="D29" s="163"/>
      <c r="E29" s="163"/>
      <c r="F29" s="163"/>
      <c r="G29" s="163"/>
      <c r="H29" s="162"/>
    </row>
    <row r="30" spans="2:8">
      <c r="B30" s="30" t="s">
        <v>422</v>
      </c>
      <c r="E30" s="31"/>
      <c r="F30" s="31"/>
      <c r="G30" s="31"/>
    </row>
    <row r="31" spans="2:8">
      <c r="B31" s="16" t="s">
        <v>45</v>
      </c>
      <c r="C31" s="16"/>
      <c r="H31" s="16"/>
    </row>
    <row r="32" spans="2:8">
      <c r="B32" s="16" t="s">
        <v>46</v>
      </c>
      <c r="C32" s="16"/>
      <c r="H32" s="16"/>
    </row>
    <row r="33" spans="2:8">
      <c r="B33" s="159" t="s">
        <v>50</v>
      </c>
      <c r="C33" s="16"/>
      <c r="H33" s="16"/>
    </row>
    <row r="34" spans="2:8">
      <c r="B34" s="14" t="s">
        <v>223</v>
      </c>
      <c r="C34" s="16"/>
      <c r="H34" s="16"/>
    </row>
    <row r="35" spans="2:8">
      <c r="B35" s="13" t="s">
        <v>259</v>
      </c>
      <c r="C35" s="16"/>
      <c r="H35" s="16"/>
    </row>
    <row r="36" spans="2:8">
      <c r="B36" s="16" t="s">
        <v>47</v>
      </c>
      <c r="C36" s="16"/>
      <c r="H36" s="16"/>
    </row>
    <row r="37" spans="2:8">
      <c r="B37" s="233" t="s">
        <v>433</v>
      </c>
      <c r="C37" s="16"/>
      <c r="H37" s="16"/>
    </row>
    <row r="38" spans="2:8">
      <c r="C38" s="16"/>
      <c r="H38" s="16"/>
    </row>
    <row r="39" spans="2:8">
      <c r="B39" s="16"/>
      <c r="H39" s="16"/>
    </row>
    <row r="40" spans="2:8">
      <c r="C40" s="16"/>
      <c r="H40" s="16"/>
    </row>
    <row r="41" spans="2:8">
      <c r="B41" s="16"/>
    </row>
  </sheetData>
  <sheetProtection algorithmName="SHA-512" hashValue="FzbGBYAtlGnzp2UA/wqrEaQ/QW5J3TIfSMJgmCQbTzeffPg1hry2P8kLlS0YTsx0EqKsowTeZ9xkCx3sLR01yQ==" saltValue="6AuCchs2tRxI2WRCQgwskw==" spinCount="100000" sheet="1" objects="1" scenarios="1" formatCells="0" formatColumns="0" formatRows="0"/>
  <sortState xmlns:xlrd2="http://schemas.microsoft.com/office/spreadsheetml/2017/richdata2" ref="E31:E36">
    <sortCondition ref="E31"/>
  </sortState>
  <mergeCells count="5">
    <mergeCell ref="H5:H6"/>
    <mergeCell ref="C5:C6"/>
    <mergeCell ref="B5:B6"/>
    <mergeCell ref="D5:E5"/>
    <mergeCell ref="F5:G5"/>
  </mergeCells>
  <conditionalFormatting sqref="H5:H28">
    <cfRule type="expression" dxfId="243" priority="3">
      <formula>ISBLANK(surface_water)</formula>
    </cfRule>
  </conditionalFormatting>
  <conditionalFormatting sqref="F8:F28 H8:H28 C8:D28">
    <cfRule type="cellIs" dxfId="242" priority="1" operator="equal">
      <formula>0</formula>
    </cfRule>
  </conditionalFormatting>
  <printOptions horizontalCentered="1"/>
  <pageMargins left="0.7" right="0.7" top="0.75" bottom="0.75" header="0.3" footer="0.3"/>
  <pageSetup paperSize="5" scale="99" orientation="landscape" verticalDpi="1200" r:id="rId1"/>
  <headerFooter>
    <oddFooter>&amp;CPage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FB81-0063-4F5E-A1F1-DF9BBEF41DE5}">
  <sheetPr>
    <tabColor rgb="FF99FFCC"/>
    <pageSetUpPr fitToPage="1"/>
  </sheetPr>
  <dimension ref="B2:O45"/>
  <sheetViews>
    <sheetView view="pageBreakPreview" zoomScale="70" zoomScaleNormal="85" zoomScaleSheetLayoutView="70" workbookViewId="0">
      <selection activeCell="G4" sqref="G4"/>
    </sheetView>
  </sheetViews>
  <sheetFormatPr defaultColWidth="9.21875" defaultRowHeight="13.2"/>
  <cols>
    <col min="1" max="1" width="6.44140625" style="14" customWidth="1"/>
    <col min="2" max="2" width="38.44140625" style="14" customWidth="1"/>
    <col min="3" max="3" width="9.77734375" style="14" customWidth="1"/>
    <col min="4" max="4" width="41.21875" style="14" customWidth="1"/>
    <col min="5" max="5" width="24.21875" style="14" bestFit="1" customWidth="1"/>
    <col min="6" max="6" width="9.77734375" style="14" customWidth="1"/>
    <col min="7" max="7" width="32.77734375" style="14" customWidth="1"/>
    <col min="8" max="8" width="24.21875" style="14" bestFit="1" customWidth="1"/>
    <col min="9" max="9" width="9.77734375" style="14" customWidth="1"/>
    <col min="10" max="10" width="15.77734375" style="14" customWidth="1"/>
    <col min="11" max="11" width="2.44140625" style="14" customWidth="1"/>
    <col min="12" max="16384" width="9.21875" style="14"/>
  </cols>
  <sheetData>
    <row r="2" spans="2:15">
      <c r="B2" s="34" t="str">
        <f>Site</f>
        <v>Test Site #1</v>
      </c>
    </row>
    <row r="3" spans="2:15">
      <c r="B3" s="50" t="str">
        <f>Title6</f>
        <v>Table 5: Toxicity Reference Values- Birds</v>
      </c>
      <c r="E3" s="65"/>
      <c r="F3" s="65"/>
    </row>
    <row r="4" spans="2:15">
      <c r="B4" s="24"/>
      <c r="C4" s="24"/>
      <c r="F4" s="133" t="s">
        <v>188</v>
      </c>
      <c r="G4" s="132"/>
    </row>
    <row r="5" spans="2:15">
      <c r="B5" s="479" t="s">
        <v>52</v>
      </c>
      <c r="C5" s="471" t="s">
        <v>85</v>
      </c>
      <c r="D5" s="471"/>
      <c r="E5" s="471"/>
      <c r="F5" s="471"/>
      <c r="G5" s="471"/>
      <c r="H5" s="471"/>
      <c r="I5" s="471"/>
      <c r="J5" s="471"/>
    </row>
    <row r="6" spans="2:15" ht="39.6">
      <c r="B6" s="480"/>
      <c r="C6" s="131" t="s">
        <v>84</v>
      </c>
      <c r="D6" s="131" t="s">
        <v>89</v>
      </c>
      <c r="E6" s="131" t="s">
        <v>87</v>
      </c>
      <c r="F6" s="131" t="s">
        <v>83</v>
      </c>
      <c r="G6" s="131" t="s">
        <v>89</v>
      </c>
      <c r="H6" s="131" t="s">
        <v>88</v>
      </c>
      <c r="I6" s="131" t="s">
        <v>82</v>
      </c>
      <c r="J6" s="131" t="s">
        <v>90</v>
      </c>
      <c r="L6" s="90"/>
    </row>
    <row r="7" spans="2:15">
      <c r="B7" s="82" t="s">
        <v>75</v>
      </c>
      <c r="C7" s="67"/>
      <c r="D7" s="67"/>
      <c r="E7" s="67"/>
      <c r="F7" s="67"/>
      <c r="G7" s="67"/>
      <c r="H7" s="67"/>
      <c r="I7" s="67"/>
      <c r="J7" s="84"/>
      <c r="L7" s="89"/>
    </row>
    <row r="8" spans="2:15" s="35" customFormat="1" ht="27" customHeight="1">
      <c r="B8" s="25" t="s">
        <v>59</v>
      </c>
      <c r="C8" s="61" t="s">
        <v>189</v>
      </c>
      <c r="D8" s="61" t="s">
        <v>0</v>
      </c>
      <c r="E8" s="61" t="s">
        <v>0</v>
      </c>
      <c r="F8" s="61" t="s">
        <v>189</v>
      </c>
      <c r="G8" s="61" t="s">
        <v>0</v>
      </c>
      <c r="H8" s="61" t="s">
        <v>0</v>
      </c>
      <c r="I8" s="402">
        <v>1</v>
      </c>
      <c r="J8" s="402" t="s">
        <v>533</v>
      </c>
      <c r="L8" s="89"/>
      <c r="O8" s="14"/>
    </row>
    <row r="9" spans="2:15" ht="27" customHeight="1">
      <c r="B9" s="42" t="s">
        <v>60</v>
      </c>
      <c r="C9" s="61" t="s">
        <v>189</v>
      </c>
      <c r="D9" s="61" t="s">
        <v>0</v>
      </c>
      <c r="E9" s="61" t="s">
        <v>0</v>
      </c>
      <c r="F9" s="61" t="s">
        <v>189</v>
      </c>
      <c r="G9" s="61" t="s">
        <v>0</v>
      </c>
      <c r="H9" s="61" t="s">
        <v>0</v>
      </c>
      <c r="I9" s="402">
        <v>2</v>
      </c>
      <c r="J9" s="402" t="s">
        <v>533</v>
      </c>
      <c r="L9" s="89"/>
    </row>
    <row r="10" spans="2:15" ht="27" customHeight="1">
      <c r="B10" s="42" t="s">
        <v>61</v>
      </c>
      <c r="C10" s="61" t="s">
        <v>189</v>
      </c>
      <c r="D10" s="61" t="s">
        <v>0</v>
      </c>
      <c r="E10" s="61" t="s">
        <v>0</v>
      </c>
      <c r="F10" s="61" t="s">
        <v>189</v>
      </c>
      <c r="G10" s="61" t="s">
        <v>0</v>
      </c>
      <c r="H10" s="61" t="s">
        <v>0</v>
      </c>
      <c r="I10" s="402">
        <v>3</v>
      </c>
      <c r="J10" s="402" t="s">
        <v>533</v>
      </c>
      <c r="L10" s="89"/>
    </row>
    <row r="11" spans="2:15" ht="27" customHeight="1">
      <c r="B11" s="42" t="s">
        <v>62</v>
      </c>
      <c r="C11" s="61" t="s">
        <v>189</v>
      </c>
      <c r="D11" s="61" t="s">
        <v>0</v>
      </c>
      <c r="E11" s="61" t="s">
        <v>0</v>
      </c>
      <c r="F11" s="61" t="s">
        <v>189</v>
      </c>
      <c r="G11" s="61" t="s">
        <v>0</v>
      </c>
      <c r="H11" s="61" t="s">
        <v>0</v>
      </c>
      <c r="I11" s="402">
        <v>4</v>
      </c>
      <c r="J11" s="402" t="s">
        <v>533</v>
      </c>
      <c r="L11" s="89"/>
    </row>
    <row r="12" spans="2:15" ht="41.25" customHeight="1">
      <c r="B12" s="42" t="s">
        <v>38</v>
      </c>
      <c r="C12" s="10">
        <v>1</v>
      </c>
      <c r="D12" s="51" t="s">
        <v>165</v>
      </c>
      <c r="E12" s="394" t="s">
        <v>532</v>
      </c>
      <c r="F12" s="61" t="s">
        <v>189</v>
      </c>
      <c r="G12" s="61" t="s">
        <v>0</v>
      </c>
      <c r="H12" s="61" t="s">
        <v>0</v>
      </c>
      <c r="I12" s="216"/>
      <c r="J12" s="217"/>
      <c r="L12" s="90"/>
    </row>
    <row r="13" spans="2:15" ht="27" customHeight="1">
      <c r="B13" s="42" t="s">
        <v>63</v>
      </c>
      <c r="C13" s="61" t="s">
        <v>189</v>
      </c>
      <c r="D13" s="61" t="s">
        <v>0</v>
      </c>
      <c r="E13" s="61" t="s">
        <v>0</v>
      </c>
      <c r="F13" s="61" t="s">
        <v>189</v>
      </c>
      <c r="G13" s="61" t="s">
        <v>0</v>
      </c>
      <c r="H13" s="61" t="s">
        <v>0</v>
      </c>
      <c r="I13" s="216"/>
      <c r="J13" s="217"/>
      <c r="L13" s="90"/>
    </row>
    <row r="14" spans="2:15" ht="39.6">
      <c r="B14" s="42" t="s">
        <v>64</v>
      </c>
      <c r="C14" s="10">
        <v>1</v>
      </c>
      <c r="D14" s="51" t="s">
        <v>165</v>
      </c>
      <c r="E14" s="394" t="s">
        <v>532</v>
      </c>
      <c r="F14" s="61" t="s">
        <v>189</v>
      </c>
      <c r="G14" s="61" t="s">
        <v>0</v>
      </c>
      <c r="H14" s="61" t="s">
        <v>0</v>
      </c>
      <c r="I14" s="216"/>
      <c r="J14" s="217"/>
      <c r="L14" s="90"/>
    </row>
    <row r="15" spans="2:15" ht="27" customHeight="1">
      <c r="B15" s="42" t="s">
        <v>65</v>
      </c>
      <c r="C15" s="61" t="s">
        <v>189</v>
      </c>
      <c r="D15" s="61" t="s">
        <v>0</v>
      </c>
      <c r="E15" s="61" t="s">
        <v>0</v>
      </c>
      <c r="F15" s="61" t="s">
        <v>189</v>
      </c>
      <c r="G15" s="61" t="s">
        <v>0</v>
      </c>
      <c r="H15" s="61" t="s">
        <v>0</v>
      </c>
      <c r="I15" s="216"/>
      <c r="J15" s="217"/>
      <c r="L15" s="90"/>
    </row>
    <row r="16" spans="2:15" ht="27" customHeight="1">
      <c r="B16" s="42" t="s">
        <v>66</v>
      </c>
      <c r="C16" s="61" t="s">
        <v>189</v>
      </c>
      <c r="D16" s="61" t="s">
        <v>0</v>
      </c>
      <c r="E16" s="61" t="s">
        <v>0</v>
      </c>
      <c r="F16" s="61" t="s">
        <v>189</v>
      </c>
      <c r="G16" s="61" t="s">
        <v>0</v>
      </c>
      <c r="H16" s="61" t="s">
        <v>0</v>
      </c>
      <c r="I16" s="216"/>
      <c r="J16" s="217"/>
      <c r="L16" s="90"/>
    </row>
    <row r="17" spans="2:12" ht="27" customHeight="1">
      <c r="B17" s="42" t="s">
        <v>67</v>
      </c>
      <c r="C17" s="61" t="s">
        <v>189</v>
      </c>
      <c r="D17" s="61" t="s">
        <v>0</v>
      </c>
      <c r="E17" s="61" t="s">
        <v>0</v>
      </c>
      <c r="F17" s="61" t="s">
        <v>189</v>
      </c>
      <c r="G17" s="61" t="s">
        <v>0</v>
      </c>
      <c r="H17" s="61" t="s">
        <v>0</v>
      </c>
      <c r="I17" s="216"/>
      <c r="J17" s="217"/>
      <c r="L17" s="90"/>
    </row>
    <row r="18" spans="2:12" ht="27" customHeight="1">
      <c r="B18" s="42" t="s">
        <v>68</v>
      </c>
      <c r="C18" s="61" t="s">
        <v>189</v>
      </c>
      <c r="D18" s="61" t="s">
        <v>0</v>
      </c>
      <c r="E18" s="61" t="s">
        <v>0</v>
      </c>
      <c r="F18" s="61" t="s">
        <v>189</v>
      </c>
      <c r="G18" s="61" t="s">
        <v>0</v>
      </c>
      <c r="H18" s="61" t="s">
        <v>0</v>
      </c>
      <c r="I18" s="216"/>
      <c r="J18" s="217"/>
      <c r="L18" s="90"/>
    </row>
    <row r="19" spans="2:12">
      <c r="B19" s="82" t="s">
        <v>76</v>
      </c>
      <c r="C19" s="69"/>
      <c r="D19" s="69"/>
      <c r="E19" s="69"/>
      <c r="F19" s="69"/>
      <c r="G19" s="69"/>
      <c r="H19" s="69"/>
      <c r="I19" s="69"/>
      <c r="J19" s="85"/>
      <c r="L19" s="90"/>
    </row>
    <row r="20" spans="2:12" ht="27" customHeight="1">
      <c r="B20" s="42" t="s">
        <v>69</v>
      </c>
      <c r="C20" s="52">
        <v>88</v>
      </c>
      <c r="D20" s="66" t="s">
        <v>120</v>
      </c>
      <c r="E20" s="308" t="s">
        <v>478</v>
      </c>
      <c r="F20" s="61" t="s">
        <v>189</v>
      </c>
      <c r="G20" s="10" t="s">
        <v>162</v>
      </c>
      <c r="H20" s="61" t="s">
        <v>0</v>
      </c>
      <c r="I20" s="217"/>
      <c r="J20" s="217"/>
      <c r="L20" s="89"/>
    </row>
    <row r="21" spans="2:12" ht="27" customHeight="1">
      <c r="B21" s="42" t="s">
        <v>70</v>
      </c>
      <c r="C21" s="61" t="s">
        <v>189</v>
      </c>
      <c r="D21" s="61" t="s">
        <v>0</v>
      </c>
      <c r="E21" s="61" t="s">
        <v>0</v>
      </c>
      <c r="F21" s="61" t="s">
        <v>189</v>
      </c>
      <c r="G21" s="61" t="s">
        <v>0</v>
      </c>
      <c r="H21" s="61" t="s">
        <v>0</v>
      </c>
      <c r="I21" s="217"/>
      <c r="J21" s="217"/>
      <c r="L21" s="90"/>
    </row>
    <row r="22" spans="2:12" ht="50.25" customHeight="1">
      <c r="B22" s="42" t="s">
        <v>37</v>
      </c>
      <c r="C22" s="52">
        <v>0.77</v>
      </c>
      <c r="D22" s="66" t="s">
        <v>122</v>
      </c>
      <c r="E22" s="303" t="s">
        <v>477</v>
      </c>
      <c r="F22" s="71">
        <v>2.64</v>
      </c>
      <c r="G22" s="66" t="s">
        <v>121</v>
      </c>
      <c r="H22" s="303" t="s">
        <v>477</v>
      </c>
      <c r="I22" s="217"/>
      <c r="J22" s="217"/>
      <c r="L22" s="90"/>
    </row>
    <row r="23" spans="2:12" ht="27" customHeight="1">
      <c r="B23" s="42" t="s">
        <v>71</v>
      </c>
      <c r="C23" s="61" t="s">
        <v>189</v>
      </c>
      <c r="D23" s="61" t="s">
        <v>0</v>
      </c>
      <c r="E23" s="61" t="s">
        <v>0</v>
      </c>
      <c r="F23" s="61" t="s">
        <v>189</v>
      </c>
      <c r="G23" s="61" t="s">
        <v>0</v>
      </c>
      <c r="H23" s="61" t="s">
        <v>0</v>
      </c>
      <c r="I23" s="217"/>
      <c r="J23" s="217"/>
      <c r="L23" s="90"/>
    </row>
    <row r="24" spans="2:12">
      <c r="B24" s="82" t="s">
        <v>77</v>
      </c>
      <c r="C24" s="69"/>
      <c r="D24" s="69"/>
      <c r="E24" s="69"/>
      <c r="F24" s="69"/>
      <c r="G24" s="69"/>
      <c r="H24" s="69"/>
      <c r="I24" s="69"/>
      <c r="J24" s="85"/>
      <c r="L24" s="90"/>
    </row>
    <row r="25" spans="2:12" ht="27" customHeight="1">
      <c r="B25" s="42" t="s">
        <v>72</v>
      </c>
      <c r="C25" s="10" t="str">
        <f>IF($G$4="Yes",$C$22,"No TRV")</f>
        <v>No TRV</v>
      </c>
      <c r="D25" s="10" t="str">
        <f>IF(C25="No TRV","--","Surrogate - PFOS")</f>
        <v>--</v>
      </c>
      <c r="E25" s="61" t="s">
        <v>0</v>
      </c>
      <c r="F25" s="10" t="str">
        <f>IF($G$4="Yes",$F$22,"No TRV")</f>
        <v>No TRV</v>
      </c>
      <c r="G25" s="10" t="str">
        <f t="shared" ref="G25:G28" si="0">IF(F25="No TRV","--","Surrogate - PFOS")</f>
        <v>--</v>
      </c>
      <c r="H25" s="61" t="s">
        <v>0</v>
      </c>
      <c r="I25" s="217"/>
      <c r="J25" s="217"/>
      <c r="L25" s="90"/>
    </row>
    <row r="26" spans="2:12">
      <c r="B26" s="82" t="s">
        <v>78</v>
      </c>
      <c r="C26" s="69"/>
      <c r="D26" s="69"/>
      <c r="E26" s="69"/>
      <c r="F26" s="69"/>
      <c r="G26" s="69"/>
      <c r="H26" s="69"/>
      <c r="I26" s="69"/>
      <c r="J26" s="85"/>
      <c r="L26" s="90"/>
    </row>
    <row r="27" spans="2:12" ht="27" customHeight="1">
      <c r="B27" s="42" t="s">
        <v>73</v>
      </c>
      <c r="C27" s="10" t="str">
        <f>IF($G$4="Yes",$C$22,"No TRV")</f>
        <v>No TRV</v>
      </c>
      <c r="D27" s="10" t="str">
        <f>IF(C27="No TRV","--","Surrogate - PFOS")</f>
        <v>--</v>
      </c>
      <c r="E27" s="61" t="s">
        <v>0</v>
      </c>
      <c r="F27" s="10" t="str">
        <f>IF($G$4="Yes",$F$22,"No TRV")</f>
        <v>No TRV</v>
      </c>
      <c r="G27" s="10" t="str">
        <f t="shared" si="0"/>
        <v>--</v>
      </c>
      <c r="H27" s="61" t="s">
        <v>0</v>
      </c>
      <c r="I27" s="218"/>
      <c r="J27" s="218"/>
      <c r="L27" s="90"/>
    </row>
    <row r="28" spans="2:12" ht="27" customHeight="1">
      <c r="B28" s="29" t="s">
        <v>74</v>
      </c>
      <c r="C28" s="10" t="str">
        <f>IF($G$4="Yes",$C$22,"No TRV")</f>
        <v>No TRV</v>
      </c>
      <c r="D28" s="10" t="str">
        <f>IF(C28="No TRV","--","Surrogate - PFOS")</f>
        <v>--</v>
      </c>
      <c r="E28" s="61" t="s">
        <v>0</v>
      </c>
      <c r="F28" s="10" t="str">
        <f>IF($G$4="Yes",$F$22,"No TRV")</f>
        <v>No TRV</v>
      </c>
      <c r="G28" s="10" t="str">
        <f t="shared" si="0"/>
        <v>--</v>
      </c>
      <c r="H28" s="61" t="s">
        <v>0</v>
      </c>
      <c r="I28" s="217"/>
      <c r="J28" s="217"/>
      <c r="L28" s="90"/>
    </row>
    <row r="30" spans="2:12">
      <c r="B30" s="30" t="s">
        <v>422</v>
      </c>
      <c r="H30" s="31"/>
    </row>
    <row r="31" spans="2:12">
      <c r="B31" s="16" t="s">
        <v>49</v>
      </c>
    </row>
    <row r="32" spans="2:12">
      <c r="B32" s="14" t="s">
        <v>262</v>
      </c>
      <c r="H32" s="16"/>
    </row>
    <row r="33" spans="2:8">
      <c r="B33" s="345" t="s">
        <v>503</v>
      </c>
      <c r="H33" s="16"/>
    </row>
    <row r="34" spans="2:8">
      <c r="C34" s="44"/>
    </row>
    <row r="35" spans="2:8">
      <c r="C35" s="36"/>
    </row>
    <row r="36" spans="2:8">
      <c r="C36" s="36"/>
    </row>
    <row r="37" spans="2:8">
      <c r="C37" s="36"/>
      <c r="D37" s="16"/>
    </row>
    <row r="38" spans="2:8">
      <c r="C38" s="36"/>
      <c r="D38" s="54"/>
    </row>
    <row r="39" spans="2:8">
      <c r="C39" s="36"/>
      <c r="D39" s="37"/>
    </row>
    <row r="40" spans="2:8">
      <c r="C40" s="36"/>
      <c r="D40" s="54"/>
    </row>
    <row r="41" spans="2:8">
      <c r="C41" s="36"/>
      <c r="D41" s="37"/>
    </row>
    <row r="42" spans="2:8">
      <c r="C42" s="36"/>
      <c r="D42" s="55"/>
    </row>
    <row r="43" spans="2:8">
      <c r="C43" s="36"/>
      <c r="D43" s="55"/>
    </row>
    <row r="44" spans="2:8">
      <c r="C44" s="36"/>
      <c r="D44" s="54"/>
    </row>
    <row r="45" spans="2:8">
      <c r="C45" s="36"/>
      <c r="D45" s="54"/>
    </row>
  </sheetData>
  <mergeCells count="2">
    <mergeCell ref="B5:B6"/>
    <mergeCell ref="C5:J5"/>
  </mergeCells>
  <pageMargins left="0.7" right="0.7" top="0.75" bottom="0.75" header="0.3" footer="0.3"/>
  <pageSetup scale="57" orientation="landscape"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051F-D312-4810-B4F8-DA671A049253}">
  <sheetPr>
    <tabColor rgb="FF99FFCC"/>
    <pageSetUpPr fitToPage="1"/>
  </sheetPr>
  <dimension ref="B2:P44"/>
  <sheetViews>
    <sheetView view="pageBreakPreview" zoomScale="70" zoomScaleNormal="85" zoomScaleSheetLayoutView="70" zoomScalePageLayoutView="85" workbookViewId="0">
      <selection activeCell="E4" sqref="E4"/>
    </sheetView>
  </sheetViews>
  <sheetFormatPr defaultColWidth="9.21875" defaultRowHeight="13.2"/>
  <cols>
    <col min="1" max="1" width="4.77734375" style="14" customWidth="1"/>
    <col min="2" max="2" width="38.44140625" style="14" customWidth="1"/>
    <col min="3" max="3" width="9.77734375" style="14" customWidth="1"/>
    <col min="4" max="4" width="41.21875" style="14" customWidth="1"/>
    <col min="5" max="5" width="24.21875" style="14" bestFit="1" customWidth="1"/>
    <col min="6" max="6" width="9.77734375" style="14" customWidth="1"/>
    <col min="7" max="7" width="34.21875" style="14" customWidth="1"/>
    <col min="8" max="8" width="24.21875" style="14" bestFit="1" customWidth="1"/>
    <col min="9" max="9" width="9.77734375" style="14" customWidth="1"/>
    <col min="10" max="10" width="21.44140625" style="14" customWidth="1"/>
    <col min="11" max="11" width="2.44140625" style="14" customWidth="1"/>
    <col min="12" max="12" width="35.44140625" style="17" bestFit="1" customWidth="1"/>
    <col min="13" max="13" width="24" style="14" bestFit="1" customWidth="1"/>
    <col min="14" max="14" width="9.44140625" style="14" customWidth="1"/>
    <col min="15" max="15" width="50.21875" style="17" bestFit="1" customWidth="1"/>
    <col min="16" max="16" width="24" style="14" bestFit="1" customWidth="1"/>
    <col min="17" max="17" width="13" style="14" customWidth="1"/>
    <col min="18" max="18" width="18.77734375" style="14" customWidth="1"/>
    <col min="19" max="16384" width="9.21875" style="14"/>
  </cols>
  <sheetData>
    <row r="2" spans="2:12">
      <c r="B2" s="34" t="str">
        <f>Site</f>
        <v>Test Site #1</v>
      </c>
    </row>
    <row r="3" spans="2:12">
      <c r="B3" s="50" t="str">
        <f>Title7</f>
        <v>Table 6: Toxicity Reference Values- Mammals</v>
      </c>
      <c r="E3" s="65"/>
      <c r="F3" s="65"/>
    </row>
    <row r="4" spans="2:12">
      <c r="D4" s="62" t="s">
        <v>130</v>
      </c>
      <c r="E4" s="132"/>
      <c r="F4" s="65"/>
    </row>
    <row r="5" spans="2:12">
      <c r="B5" s="479" t="s">
        <v>52</v>
      </c>
      <c r="C5" s="471" t="s">
        <v>86</v>
      </c>
      <c r="D5" s="471"/>
      <c r="E5" s="471"/>
      <c r="F5" s="471"/>
      <c r="G5" s="471"/>
      <c r="H5" s="471"/>
      <c r="I5" s="471"/>
      <c r="J5" s="471"/>
    </row>
    <row r="6" spans="2:12" ht="39.6">
      <c r="B6" s="480"/>
      <c r="C6" s="131" t="s">
        <v>84</v>
      </c>
      <c r="D6" s="131" t="s">
        <v>89</v>
      </c>
      <c r="E6" s="131" t="s">
        <v>87</v>
      </c>
      <c r="F6" s="131" t="s">
        <v>83</v>
      </c>
      <c r="G6" s="131" t="s">
        <v>89</v>
      </c>
      <c r="H6" s="131" t="s">
        <v>88</v>
      </c>
      <c r="I6" s="131" t="s">
        <v>82</v>
      </c>
      <c r="J6" s="131" t="s">
        <v>90</v>
      </c>
      <c r="L6" s="91"/>
    </row>
    <row r="7" spans="2:12">
      <c r="B7" s="202" t="s">
        <v>75</v>
      </c>
      <c r="C7" s="67"/>
      <c r="D7" s="67"/>
      <c r="E7" s="67"/>
      <c r="F7" s="67"/>
      <c r="G7" s="67"/>
      <c r="H7" s="68"/>
      <c r="I7" s="67"/>
      <c r="J7" s="84"/>
      <c r="L7" s="92"/>
    </row>
    <row r="8" spans="2:12" s="35" customFormat="1" ht="27" customHeight="1">
      <c r="B8" s="25" t="s">
        <v>59</v>
      </c>
      <c r="C8" s="63">
        <v>30</v>
      </c>
      <c r="D8" s="51" t="s">
        <v>102</v>
      </c>
      <c r="E8" s="431" t="s">
        <v>540</v>
      </c>
      <c r="F8" s="61" t="s">
        <v>0</v>
      </c>
      <c r="G8" s="59" t="s">
        <v>0</v>
      </c>
      <c r="H8" s="61" t="s">
        <v>0</v>
      </c>
      <c r="I8" s="402"/>
      <c r="J8" s="434"/>
      <c r="L8" s="89"/>
    </row>
    <row r="9" spans="2:12" ht="27" customHeight="1">
      <c r="B9" s="42" t="s">
        <v>60</v>
      </c>
      <c r="C9" s="10" t="str">
        <f>IF($E$4="Yes",$C$10,"No TRV")</f>
        <v>No TRV</v>
      </c>
      <c r="D9" s="51" t="str">
        <f>IF(C9="No TRV","--","Surrogate - PFHxA")</f>
        <v>--</v>
      </c>
      <c r="E9" s="52" t="s">
        <v>0</v>
      </c>
      <c r="F9" s="10" t="str">
        <f>IF($E$4="Yes",$F$10,"No TRV")</f>
        <v>No TRV</v>
      </c>
      <c r="G9" s="51" t="str">
        <f>IF(F9="No TRV","--","Surrogate - PFHxA")</f>
        <v>--</v>
      </c>
      <c r="H9" s="52" t="s">
        <v>0</v>
      </c>
      <c r="I9" s="403"/>
      <c r="J9" s="434"/>
      <c r="L9" s="91"/>
    </row>
    <row r="10" spans="2:12" ht="27" customHeight="1">
      <c r="B10" s="42" t="s">
        <v>61</v>
      </c>
      <c r="C10" s="53">
        <v>30</v>
      </c>
      <c r="D10" s="66" t="s">
        <v>96</v>
      </c>
      <c r="E10" s="304" t="s">
        <v>185</v>
      </c>
      <c r="F10" s="52">
        <v>200</v>
      </c>
      <c r="G10" s="66" t="s">
        <v>98</v>
      </c>
      <c r="H10" s="52" t="s">
        <v>97</v>
      </c>
      <c r="I10" s="403"/>
      <c r="J10" s="434"/>
      <c r="L10" s="91"/>
    </row>
    <row r="11" spans="2:12" ht="27" customHeight="1">
      <c r="B11" s="42" t="s">
        <v>62</v>
      </c>
      <c r="C11" s="10" t="str">
        <f>IF($E$4="Yes",$C$12,"No TRV")</f>
        <v>No TRV</v>
      </c>
      <c r="D11" s="51" t="str">
        <f>IF(C11="No TRV","--","Surrogate - PFOA")</f>
        <v>--</v>
      </c>
      <c r="E11" s="52" t="s">
        <v>0</v>
      </c>
      <c r="F11" s="10" t="str">
        <f>IF($E$4="Yes",$F$12,"No TRV")</f>
        <v>No TRV</v>
      </c>
      <c r="G11" s="51" t="str">
        <f>IF(F11="No TRV","--","Surrogate - PFOA")</f>
        <v>--</v>
      </c>
      <c r="H11" s="52" t="s">
        <v>0</v>
      </c>
      <c r="I11" s="217"/>
      <c r="J11" s="435"/>
      <c r="L11" s="91"/>
    </row>
    <row r="12" spans="2:12" ht="27" customHeight="1">
      <c r="B12" s="42" t="s">
        <v>38</v>
      </c>
      <c r="C12" s="53">
        <v>1.3</v>
      </c>
      <c r="D12" s="51" t="s">
        <v>102</v>
      </c>
      <c r="E12" s="304" t="s">
        <v>99</v>
      </c>
      <c r="F12" s="52">
        <v>14</v>
      </c>
      <c r="G12" s="66" t="s">
        <v>103</v>
      </c>
      <c r="H12" s="52" t="s">
        <v>99</v>
      </c>
      <c r="I12" s="217"/>
      <c r="J12" s="435"/>
      <c r="L12" s="91"/>
    </row>
    <row r="13" spans="2:12" ht="26.4">
      <c r="B13" s="42" t="s">
        <v>63</v>
      </c>
      <c r="C13" s="53">
        <v>0.83</v>
      </c>
      <c r="D13" s="66" t="s">
        <v>104</v>
      </c>
      <c r="E13" s="304" t="s">
        <v>186</v>
      </c>
      <c r="F13" s="52">
        <v>1.1000000000000001</v>
      </c>
      <c r="G13" s="66" t="s">
        <v>105</v>
      </c>
      <c r="H13" s="52" t="s">
        <v>186</v>
      </c>
      <c r="I13" s="217"/>
      <c r="J13" s="435"/>
      <c r="L13" s="91"/>
    </row>
    <row r="14" spans="2:12" ht="52.8">
      <c r="B14" s="42" t="s">
        <v>64</v>
      </c>
      <c r="C14" s="53">
        <v>0.3</v>
      </c>
      <c r="D14" s="51" t="s">
        <v>106</v>
      </c>
      <c r="E14" s="304" t="s">
        <v>100</v>
      </c>
      <c r="F14" s="52">
        <v>1</v>
      </c>
      <c r="G14" s="66" t="s">
        <v>541</v>
      </c>
      <c r="H14" s="52" t="s">
        <v>100</v>
      </c>
      <c r="I14" s="217">
        <v>6.4</v>
      </c>
      <c r="J14" s="436" t="s">
        <v>542</v>
      </c>
      <c r="L14" s="91"/>
    </row>
    <row r="15" spans="2:12" ht="27" customHeight="1">
      <c r="B15" s="42" t="s">
        <v>65</v>
      </c>
      <c r="C15" s="53">
        <v>0.3</v>
      </c>
      <c r="D15" s="51" t="s">
        <v>107</v>
      </c>
      <c r="E15" s="304" t="s">
        <v>101</v>
      </c>
      <c r="F15" s="52">
        <v>1</v>
      </c>
      <c r="G15" s="66" t="s">
        <v>109</v>
      </c>
      <c r="H15" s="52" t="s">
        <v>101</v>
      </c>
      <c r="I15" s="217"/>
      <c r="J15" s="435"/>
      <c r="L15" s="91"/>
    </row>
    <row r="16" spans="2:12" ht="39.6">
      <c r="B16" s="42" t="s">
        <v>66</v>
      </c>
      <c r="C16" s="64">
        <v>0.5</v>
      </c>
      <c r="D16" s="51" t="s">
        <v>107</v>
      </c>
      <c r="E16" s="305" t="s">
        <v>108</v>
      </c>
      <c r="F16" s="8">
        <v>2.5</v>
      </c>
      <c r="G16" s="59" t="s">
        <v>110</v>
      </c>
      <c r="H16" s="8" t="s">
        <v>108</v>
      </c>
      <c r="I16" s="217"/>
      <c r="J16" s="435"/>
      <c r="L16" s="91"/>
    </row>
    <row r="17" spans="2:12" ht="27" customHeight="1">
      <c r="B17" s="42" t="s">
        <v>67</v>
      </c>
      <c r="C17" s="10" t="str">
        <f>IF($E$4="Yes",$C$16,"No TRV")</f>
        <v>No TRV</v>
      </c>
      <c r="D17" s="51" t="str">
        <f>IF(C17="No TRV","--","Surrogate - PFDoDA")</f>
        <v>--</v>
      </c>
      <c r="E17" s="52" t="s">
        <v>0</v>
      </c>
      <c r="F17" s="10" t="str">
        <f>IF($E$4="Yes",$F$16,"No TRV")</f>
        <v>No TRV</v>
      </c>
      <c r="G17" s="51" t="str">
        <f>IF(F17="No TRV","--","Surrogate - PFDoDA")</f>
        <v>--</v>
      </c>
      <c r="H17" s="52" t="s">
        <v>0</v>
      </c>
      <c r="I17" s="217"/>
      <c r="J17" s="435"/>
      <c r="L17" s="91"/>
    </row>
    <row r="18" spans="2:12" ht="39.75" customHeight="1">
      <c r="B18" s="42" t="s">
        <v>68</v>
      </c>
      <c r="C18" s="64">
        <v>3</v>
      </c>
      <c r="D18" s="51" t="s">
        <v>107</v>
      </c>
      <c r="E18" s="305" t="s">
        <v>111</v>
      </c>
      <c r="F18" s="8">
        <v>10</v>
      </c>
      <c r="G18" s="59" t="s">
        <v>112</v>
      </c>
      <c r="H18" s="8" t="s">
        <v>111</v>
      </c>
      <c r="I18" s="217"/>
      <c r="J18" s="435"/>
      <c r="L18" s="91"/>
    </row>
    <row r="19" spans="2:12">
      <c r="B19" s="202" t="s">
        <v>76</v>
      </c>
      <c r="C19" s="69"/>
      <c r="D19" s="70"/>
      <c r="E19" s="69"/>
      <c r="F19" s="69"/>
      <c r="G19" s="70"/>
      <c r="H19" s="69"/>
      <c r="I19" s="69"/>
      <c r="J19" s="437"/>
      <c r="L19" s="91"/>
    </row>
    <row r="20" spans="2:12" ht="33.75" customHeight="1">
      <c r="B20" s="42" t="s">
        <v>69</v>
      </c>
      <c r="C20" s="64">
        <v>300</v>
      </c>
      <c r="D20" s="51" t="s">
        <v>102</v>
      </c>
      <c r="E20" s="305" t="s">
        <v>113</v>
      </c>
      <c r="F20" s="8">
        <v>1000</v>
      </c>
      <c r="G20" s="66" t="s">
        <v>114</v>
      </c>
      <c r="H20" s="8" t="s">
        <v>113</v>
      </c>
      <c r="I20" s="217"/>
      <c r="J20" s="435"/>
      <c r="L20" s="91"/>
    </row>
    <row r="21" spans="2:12" ht="66">
      <c r="B21" s="42" t="s">
        <v>70</v>
      </c>
      <c r="C21" s="64">
        <v>0.3</v>
      </c>
      <c r="D21" s="60" t="s">
        <v>116</v>
      </c>
      <c r="E21" s="305" t="s">
        <v>115</v>
      </c>
      <c r="F21" s="8">
        <v>1</v>
      </c>
      <c r="G21" s="60" t="s">
        <v>117</v>
      </c>
      <c r="H21" s="52" t="s">
        <v>115</v>
      </c>
      <c r="I21" s="217">
        <v>10</v>
      </c>
      <c r="J21" s="436" t="s">
        <v>543</v>
      </c>
      <c r="L21" s="91"/>
    </row>
    <row r="22" spans="2:12" ht="50.25" customHeight="1">
      <c r="B22" s="42" t="s">
        <v>37</v>
      </c>
      <c r="C22" s="64">
        <v>0.1</v>
      </c>
      <c r="D22" s="51" t="s">
        <v>118</v>
      </c>
      <c r="E22" s="439" t="s">
        <v>187</v>
      </c>
      <c r="F22" s="8">
        <v>0.4</v>
      </c>
      <c r="G22" s="440" t="s">
        <v>119</v>
      </c>
      <c r="H22" s="52" t="s">
        <v>187</v>
      </c>
      <c r="I22" s="217">
        <v>1.6</v>
      </c>
      <c r="J22" s="436" t="s">
        <v>544</v>
      </c>
      <c r="L22" s="91"/>
    </row>
    <row r="23" spans="2:12" ht="27" customHeight="1">
      <c r="B23" s="42" t="s">
        <v>71</v>
      </c>
      <c r="C23" s="10" t="str">
        <f>IF($E$4="Yes",$C$22,"No TRV")</f>
        <v>No TRV</v>
      </c>
      <c r="D23" s="51" t="str">
        <f t="shared" ref="D23" si="0">IF(C23="No TRV","--","Surrogate - PFOS")</f>
        <v>--</v>
      </c>
      <c r="E23" s="52" t="s">
        <v>0</v>
      </c>
      <c r="F23" s="10" t="str">
        <f>IF($E$4="Yes",$F$22,"No TRV")</f>
        <v>No TRV</v>
      </c>
      <c r="G23" s="51" t="str">
        <f t="shared" ref="G23" si="1">IF(F23="No TRV","--","Surrogate - PFOS")</f>
        <v>--</v>
      </c>
      <c r="H23" s="52" t="s">
        <v>0</v>
      </c>
      <c r="I23" s="217"/>
      <c r="J23" s="435"/>
      <c r="L23" s="91"/>
    </row>
    <row r="24" spans="2:12">
      <c r="B24" s="202" t="s">
        <v>77</v>
      </c>
      <c r="C24" s="69"/>
      <c r="D24" s="70"/>
      <c r="E24" s="69"/>
      <c r="F24" s="69"/>
      <c r="G24" s="70"/>
      <c r="H24" s="69"/>
      <c r="I24" s="69"/>
      <c r="J24" s="437"/>
      <c r="L24" s="91"/>
    </row>
    <row r="25" spans="2:12" ht="27" customHeight="1">
      <c r="B25" s="42" t="s">
        <v>72</v>
      </c>
      <c r="C25" s="10" t="str">
        <f>IF($E$4="Yes",$C$22,"No TRV")</f>
        <v>No TRV</v>
      </c>
      <c r="D25" s="51" t="str">
        <f t="shared" ref="D25" si="2">IF(C25="No TRV","--","Surrogate - PFOS")</f>
        <v>--</v>
      </c>
      <c r="E25" s="52" t="s">
        <v>0</v>
      </c>
      <c r="F25" s="10" t="str">
        <f>IF($E$4="Yes",$F$22,"No TRV")</f>
        <v>No TRV</v>
      </c>
      <c r="G25" s="51" t="str">
        <f t="shared" ref="G25" si="3">IF(F25="No TRV","--","Surrogate - PFOS")</f>
        <v>--</v>
      </c>
      <c r="H25" s="52" t="s">
        <v>0</v>
      </c>
      <c r="I25" s="217"/>
      <c r="J25" s="435"/>
      <c r="L25" s="91"/>
    </row>
    <row r="26" spans="2:12">
      <c r="B26" s="202" t="s">
        <v>78</v>
      </c>
      <c r="C26" s="69"/>
      <c r="D26" s="70"/>
      <c r="E26" s="69"/>
      <c r="F26" s="69"/>
      <c r="G26" s="70"/>
      <c r="H26" s="69"/>
      <c r="I26" s="69"/>
      <c r="J26" s="437"/>
      <c r="L26" s="91"/>
    </row>
    <row r="27" spans="2:12" ht="27" customHeight="1">
      <c r="B27" s="42" t="s">
        <v>73</v>
      </c>
      <c r="C27" s="10" t="str">
        <f>IF($E$4="Yes",$C$22,"No TRV")</f>
        <v>No TRV</v>
      </c>
      <c r="D27" s="51" t="str">
        <f>IF(C27="No TRV","--","Surrogate - PFOS")</f>
        <v>--</v>
      </c>
      <c r="E27" s="52" t="s">
        <v>0</v>
      </c>
      <c r="F27" s="10" t="str">
        <f t="shared" ref="F27:F28" si="4">IF($E$4="Yes",$F$22,"No TRV")</f>
        <v>No TRV</v>
      </c>
      <c r="G27" s="51" t="str">
        <f>IF(F27="No TRV","--","Surrogate - PFOS")</f>
        <v>--</v>
      </c>
      <c r="H27" s="52" t="s">
        <v>0</v>
      </c>
      <c r="I27" s="218"/>
      <c r="J27" s="438"/>
      <c r="K27" s="90"/>
      <c r="L27" s="91"/>
    </row>
    <row r="28" spans="2:12" ht="27" customHeight="1">
      <c r="B28" s="29" t="s">
        <v>74</v>
      </c>
      <c r="C28" s="10" t="str">
        <f>IF($E$4="Yes",$C$22,"No TRV")</f>
        <v>No TRV</v>
      </c>
      <c r="D28" s="51" t="str">
        <f>IF(C28="No TRV","--","Surrogate - PFOS")</f>
        <v>--</v>
      </c>
      <c r="E28" s="52" t="s">
        <v>0</v>
      </c>
      <c r="F28" s="10" t="str">
        <f t="shared" si="4"/>
        <v>No TRV</v>
      </c>
      <c r="G28" s="51" t="str">
        <f>IF(F28="No TRV","--","Surrogate - PFOS")</f>
        <v>--</v>
      </c>
      <c r="H28" s="52" t="s">
        <v>0</v>
      </c>
      <c r="I28" s="217"/>
      <c r="J28" s="435"/>
      <c r="K28" s="90"/>
      <c r="L28" s="91"/>
    </row>
    <row r="29" spans="2:12">
      <c r="L29" s="91"/>
    </row>
    <row r="30" spans="2:12">
      <c r="B30" s="30" t="s">
        <v>422</v>
      </c>
      <c r="G30" s="31"/>
      <c r="L30" s="91"/>
    </row>
    <row r="31" spans="2:12">
      <c r="B31" s="16" t="s">
        <v>49</v>
      </c>
    </row>
    <row r="32" spans="2:12">
      <c r="B32" s="14" t="s">
        <v>262</v>
      </c>
      <c r="C32" s="44"/>
    </row>
    <row r="33" spans="2:16">
      <c r="B33" s="345" t="s">
        <v>503</v>
      </c>
      <c r="C33" s="44"/>
    </row>
    <row r="34" spans="2:16">
      <c r="B34" s="31"/>
      <c r="C34" s="36"/>
    </row>
    <row r="35" spans="2:16">
      <c r="B35" s="16"/>
      <c r="C35" s="36"/>
    </row>
    <row r="36" spans="2:16">
      <c r="C36" s="36"/>
      <c r="D36" s="16"/>
      <c r="P36" s="36"/>
    </row>
    <row r="37" spans="2:16">
      <c r="C37" s="36"/>
      <c r="D37" s="54"/>
      <c r="P37" s="36"/>
    </row>
    <row r="38" spans="2:16">
      <c r="C38" s="36"/>
      <c r="D38" s="37"/>
      <c r="P38" s="36"/>
    </row>
    <row r="39" spans="2:16">
      <c r="C39" s="36"/>
      <c r="D39" s="54"/>
      <c r="P39" s="36"/>
    </row>
    <row r="40" spans="2:16">
      <c r="C40" s="36"/>
      <c r="D40" s="37"/>
      <c r="P40" s="36"/>
    </row>
    <row r="41" spans="2:16">
      <c r="C41" s="36"/>
      <c r="D41" s="55"/>
      <c r="P41" s="36"/>
    </row>
    <row r="42" spans="2:16">
      <c r="C42" s="36"/>
      <c r="D42" s="55"/>
      <c r="P42" s="36"/>
    </row>
    <row r="43" spans="2:16">
      <c r="C43" s="36"/>
      <c r="D43" s="54"/>
    </row>
    <row r="44" spans="2:16">
      <c r="C44" s="36"/>
      <c r="D44" s="54"/>
    </row>
  </sheetData>
  <mergeCells count="2">
    <mergeCell ref="B5:B6"/>
    <mergeCell ref="C5:J5"/>
  </mergeCells>
  <pageMargins left="0.7" right="0.7" top="0.75" bottom="0.75" header="0.3" footer="0.3"/>
  <pageSetup scale="56" orientation="landscape"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6D638622362A49BB87502306C50E9B" ma:contentTypeVersion="10" ma:contentTypeDescription="Create a new document." ma:contentTypeScope="" ma:versionID="17c4db89480213f6ba8db60865d93eab">
  <xsd:schema xmlns:xsd="http://www.w3.org/2001/XMLSchema" xmlns:xs="http://www.w3.org/2001/XMLSchema" xmlns:p="http://schemas.microsoft.com/office/2006/metadata/properties" xmlns:ns2="eb55e4a8-4b76-448e-92ea-ea5ace658981" xmlns:ns3="dc14dacb-a237-4e21-aa47-4ffab630ab7e" targetNamespace="http://schemas.microsoft.com/office/2006/metadata/properties" ma:root="true" ma:fieldsID="48ee09af7d962a504c15b4b5bbdbb045" ns2:_="" ns3:_="">
    <xsd:import namespace="eb55e4a8-4b76-448e-92ea-ea5ace658981"/>
    <xsd:import namespace="dc14dacb-a237-4e21-aa47-4ffab630ab7e"/>
    <xsd:element name="properties">
      <xsd:complexType>
        <xsd:sequence>
          <xsd:element name="documentManagement">
            <xsd:complexType>
              <xsd:all>
                <xsd:element ref="ns2:Author_x0020_Org_x002e_" minOccurs="0"/>
                <xsd:element ref="ns2:Data_x0020_Type" minOccurs="0"/>
                <xsd:element ref="ns2:Tag_x0020_1" minOccurs="0"/>
                <xsd:element ref="ns2:Statu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5e4a8-4b76-448e-92ea-ea5ace658981" elementFormDefault="qualified">
    <xsd:import namespace="http://schemas.microsoft.com/office/2006/documentManagement/types"/>
    <xsd:import namespace="http://schemas.microsoft.com/office/infopath/2007/PartnerControls"/>
    <xsd:element name="Author_x0020_Org_x002e_" ma:index="2" nillable="true" ma:displayName="Author Org." ma:format="Dropdown" ma:internalName="Author_x0020_Org_x002e_" ma:readOnly="false">
      <xsd:simpleType>
        <xsd:union memberTypes="dms:Text">
          <xsd:simpleType>
            <xsd:restriction base="dms:Choice">
              <xsd:enumeration value="Parsons"/>
              <xsd:enumeration value="Geosyntec"/>
              <xsd:enumeration value="AECOM"/>
              <xsd:enumeration value="Chemours"/>
              <xsd:enumeration value="NCDEQ"/>
              <xsd:enumeration value="CFPUA"/>
              <xsd:enumeration value="TestAmerica"/>
              <xsd:enumeration value="Lancaster"/>
              <xsd:enumeration value="Arnold and Porter"/>
            </xsd:restriction>
          </xsd:simpleType>
        </xsd:union>
      </xsd:simpleType>
    </xsd:element>
    <xsd:element name="Data_x0020_Type" ma:index="3" nillable="true" ma:displayName="Data Type" ma:default="Report" ma:format="Dropdown" ma:internalName="Data_x0020_Type" ma:readOnly="false">
      <xsd:simpleType>
        <xsd:union memberTypes="dms:Text">
          <xsd:simpleType>
            <xsd:restriction base="dms:Choice">
              <xsd:enumeration value="Report"/>
              <xsd:enumeration value="Lab Report"/>
              <xsd:enumeration value="Map"/>
              <xsd:enumeration value="Table"/>
              <xsd:enumeration value="Spreadsheet"/>
              <xsd:enumeration value="Borehole Log"/>
              <xsd:enumeration value="Stack Test"/>
              <xsd:enumeration value="Geotech Data"/>
              <xsd:enumeration value="Hydraulic Data"/>
            </xsd:restriction>
          </xsd:simpleType>
        </xsd:union>
      </xsd:simpleType>
    </xsd:element>
    <xsd:element name="Tag_x0020_1" ma:index="4" nillable="true" ma:displayName="Tag 1" ma:internalName="Tag_x0020_1" ma:readOnly="false">
      <xsd:simpleType>
        <xsd:restriction base="dms:Text">
          <xsd:maxLength value="255"/>
        </xsd:restriction>
      </xsd:simpleType>
    </xsd:element>
    <xsd:element name="Status" ma:index="5" nillable="true" ma:displayName="Status" ma:format="Dropdown" ma:internalName="Status" ma:readOnly="false">
      <xsd:simpleType>
        <xsd:restriction base="dms:Choice">
          <xsd:enumeration value="Draft"/>
          <xsd:enumeration value="Final"/>
          <xsd:enumeration value="Working"/>
        </xsd:restriction>
      </xsd:simpleType>
    </xsd:element>
  </xsd:schema>
  <xsd:schema xmlns:xsd="http://www.w3.org/2001/XMLSchema" xmlns:xs="http://www.w3.org/2001/XMLSchema" xmlns:dms="http://schemas.microsoft.com/office/2006/documentManagement/types" xmlns:pc="http://schemas.microsoft.com/office/infopath/2007/PartnerControls" targetNamespace="dc14dacb-a237-4e21-aa47-4ffab630ab7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uthor_x0020_Org_x002e_ xmlns="eb55e4a8-4b76-448e-92ea-ea5ace658981" xsi:nil="true"/>
    <Tag_x0020_1 xmlns="eb55e4a8-4b76-448e-92ea-ea5ace658981" xsi:nil="true"/>
    <Data_x0020_Type xmlns="eb55e4a8-4b76-448e-92ea-ea5ace658981">Report</Data_x0020_Type>
    <Status xmlns="eb55e4a8-4b76-448e-92ea-ea5ace6589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363EC3-AFCF-4F9F-A556-E5847042A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5e4a8-4b76-448e-92ea-ea5ace658981"/>
    <ds:schemaRef ds:uri="dc14dacb-a237-4e21-aa47-4ffab630ab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C6575C-E5F2-408B-8083-E57E36EC2177}">
  <ds:schemaRefs>
    <ds:schemaRef ds:uri="eb55e4a8-4b76-448e-92ea-ea5ace658981"/>
    <ds:schemaRef ds:uri="http://schemas.microsoft.com/office/infopath/2007/PartnerControls"/>
    <ds:schemaRef ds:uri="dc14dacb-a237-4e21-aa47-4ffab630ab7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788AB15-6AB2-4E5A-98F8-6D78CF2123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21</vt:i4>
      </vt:variant>
      <vt:variant>
        <vt:lpstr>Charts</vt:lpstr>
      </vt:variant>
      <vt:variant>
        <vt:i4>1</vt:i4>
      </vt:variant>
      <vt:variant>
        <vt:lpstr>Named Ranges</vt:lpstr>
      </vt:variant>
      <vt:variant>
        <vt:i4>177</vt:i4>
      </vt:variant>
    </vt:vector>
  </HeadingPairs>
  <TitlesOfParts>
    <vt:vector size="199" baseType="lpstr">
      <vt:lpstr>Introduction</vt:lpstr>
      <vt:lpstr>TOC</vt:lpstr>
      <vt:lpstr>A&amp;A</vt:lpstr>
      <vt:lpstr>Exposure Factors</vt:lpstr>
      <vt:lpstr>BioaccumParams</vt:lpstr>
      <vt:lpstr>Data Input &amp; FWM</vt:lpstr>
      <vt:lpstr>EPCs</vt:lpstr>
      <vt:lpstr>TRVs_birds</vt:lpstr>
      <vt:lpstr>TRVs_mammals</vt:lpstr>
      <vt:lpstr>Direct Contact</vt:lpstr>
      <vt:lpstr>Bird1</vt:lpstr>
      <vt:lpstr>Bird2</vt:lpstr>
      <vt:lpstr>Bird3</vt:lpstr>
      <vt:lpstr>Mam1</vt:lpstr>
      <vt:lpstr>Mam2</vt:lpstr>
      <vt:lpstr>Mam3</vt:lpstr>
      <vt:lpstr>HQSum</vt:lpstr>
      <vt:lpstr>INTERNAL --&gt;</vt:lpstr>
      <vt:lpstr>EF Lookup</vt:lpstr>
      <vt:lpstr>TDI Fig Data</vt:lpstr>
      <vt:lpstr>Nagy FIR variables</vt:lpstr>
      <vt:lpstr>Figure1 - TDI</vt:lpstr>
      <vt:lpstr>a_avian_galliformes_dw</vt:lpstr>
      <vt:lpstr>a_avian_insectivore_DW</vt:lpstr>
      <vt:lpstr>a_avian_insectivore_ww</vt:lpstr>
      <vt:lpstr>a_avian_omnivore_dw</vt:lpstr>
      <vt:lpstr>a_avian_omnivore_ww</vt:lpstr>
      <vt:lpstr>a_avian_passerines_dw</vt:lpstr>
      <vt:lpstr>a_avian_passerines_ww</vt:lpstr>
      <vt:lpstr>a_mamm_herbivore_dw</vt:lpstr>
      <vt:lpstr>a_mamm_herbivore_ww</vt:lpstr>
      <vt:lpstr>a_mamm_insectivore_dw</vt:lpstr>
      <vt:lpstr>a_mamm_insectivore_ww</vt:lpstr>
      <vt:lpstr>a_mamm_omnivore_dw</vt:lpstr>
      <vt:lpstr>a_mamm_omnivore_ww</vt:lpstr>
      <vt:lpstr>a_mamm_rodent_dw</vt:lpstr>
      <vt:lpstr>a_mamm_rodent_ww</vt:lpstr>
      <vt:lpstr>American_Robin_BW</vt:lpstr>
      <vt:lpstr>American_Woodcock_BW</vt:lpstr>
      <vt:lpstr>Area</vt:lpstr>
      <vt:lpstr>b_avian_galliformes_dw</vt:lpstr>
      <vt:lpstr>b_avian_insectivore_dw</vt:lpstr>
      <vt:lpstr>b_avian_insectivore_ww</vt:lpstr>
      <vt:lpstr>b_avian_omnivore_dw</vt:lpstr>
      <vt:lpstr>b_avian_omnivore_ww</vt:lpstr>
      <vt:lpstr>b_avian_passerines_dw</vt:lpstr>
      <vt:lpstr>b_avian_passerines_ww</vt:lpstr>
      <vt:lpstr>b_mamm_herbivore_dw</vt:lpstr>
      <vt:lpstr>b_mamm_herbivore_ww</vt:lpstr>
      <vt:lpstr>b_mamm_insectivore_dw</vt:lpstr>
      <vt:lpstr>b_mamm_insectivore_ww</vt:lpstr>
      <vt:lpstr>b_mamm_omnivore_dw</vt:lpstr>
      <vt:lpstr>b_mamm_omnivore_ww</vt:lpstr>
      <vt:lpstr>b_mamm_rodent_dw</vt:lpstr>
      <vt:lpstr>b_mamm_rodent_ww</vt:lpstr>
      <vt:lpstr>B1_AUF</vt:lpstr>
      <vt:lpstr>B1_bw</vt:lpstr>
      <vt:lpstr>B1_dwi</vt:lpstr>
      <vt:lpstr>B1_fir</vt:lpstr>
      <vt:lpstr>B1_FIRw</vt:lpstr>
      <vt:lpstr>B1_Pinv</vt:lpstr>
      <vt:lpstr>B1_Pso</vt:lpstr>
      <vt:lpstr>B1_Pveg</vt:lpstr>
      <vt:lpstr>B2_AUF</vt:lpstr>
      <vt:lpstr>B2_bw</vt:lpstr>
      <vt:lpstr>B2_dwi</vt:lpstr>
      <vt:lpstr>B2_fir</vt:lpstr>
      <vt:lpstr>B2_FIRw</vt:lpstr>
      <vt:lpstr>B2_Pinv</vt:lpstr>
      <vt:lpstr>B2_Pso</vt:lpstr>
      <vt:lpstr>B2_Pveg</vt:lpstr>
      <vt:lpstr>B3_AUF</vt:lpstr>
      <vt:lpstr>B3_bw</vt:lpstr>
      <vt:lpstr>B3_dwi</vt:lpstr>
      <vt:lpstr>B3_fir</vt:lpstr>
      <vt:lpstr>B3_FIRw</vt:lpstr>
      <vt:lpstr>B3_Pinv</vt:lpstr>
      <vt:lpstr>B3_Pso</vt:lpstr>
      <vt:lpstr>B3_Pveg</vt:lpstr>
      <vt:lpstr>Bird1</vt:lpstr>
      <vt:lpstr>Bird2</vt:lpstr>
      <vt:lpstr>Bird3</vt:lpstr>
      <vt:lpstr>Buena_Vista_Lake_Shrew_BW</vt:lpstr>
      <vt:lpstr>CF_kg_g</vt:lpstr>
      <vt:lpstr>Coastal_California_Gnatcatcher__BW</vt:lpstr>
      <vt:lpstr>Deer_Mouse_BW</vt:lpstr>
      <vt:lpstr>Eastern_Cottontail_BW</vt:lpstr>
      <vt:lpstr>Florida_Scrub_Jay_BW</vt:lpstr>
      <vt:lpstr>FOA</vt:lpstr>
      <vt:lpstr>Lapland_Longspur_BW</vt:lpstr>
      <vt:lpstr>Mam_1</vt:lpstr>
      <vt:lpstr>Mam_2</vt:lpstr>
      <vt:lpstr>Mam_3</vt:lpstr>
      <vt:lpstr>Mam1_AUF</vt:lpstr>
      <vt:lpstr>Mam1_bw</vt:lpstr>
      <vt:lpstr>Mam1_dwi</vt:lpstr>
      <vt:lpstr>Mam1_fir</vt:lpstr>
      <vt:lpstr>Mam1_FIRw</vt:lpstr>
      <vt:lpstr>Mam1_HR</vt:lpstr>
      <vt:lpstr>Mam1_Pinv</vt:lpstr>
      <vt:lpstr>Mam1_Pso</vt:lpstr>
      <vt:lpstr>Mam1_Pveg</vt:lpstr>
      <vt:lpstr>Mam2_AUF</vt:lpstr>
      <vt:lpstr>Mam2_BW</vt:lpstr>
      <vt:lpstr>Mam2_dwi</vt:lpstr>
      <vt:lpstr>Mam2_fir</vt:lpstr>
      <vt:lpstr>Mam2_FIRw</vt:lpstr>
      <vt:lpstr>Mam2_HR</vt:lpstr>
      <vt:lpstr>Mam2_Pinv</vt:lpstr>
      <vt:lpstr>Mam2_Pso</vt:lpstr>
      <vt:lpstr>Mam2_Pveg</vt:lpstr>
      <vt:lpstr>Mam3_AUF</vt:lpstr>
      <vt:lpstr>mam3_bw</vt:lpstr>
      <vt:lpstr>Mam3_dwi</vt:lpstr>
      <vt:lpstr>Mam3_fir</vt:lpstr>
      <vt:lpstr>Mam3_FIRw</vt:lpstr>
      <vt:lpstr>Mam3_HR</vt:lpstr>
      <vt:lpstr>Mam3_Pinv</vt:lpstr>
      <vt:lpstr>Mam3_Pso</vt:lpstr>
      <vt:lpstr>Mam3_Pveg</vt:lpstr>
      <vt:lpstr>Masked_Bobwhite_Quail_BW</vt:lpstr>
      <vt:lpstr>Meadow_Vole_BW</vt:lpstr>
      <vt:lpstr>Northern_Bobwhite_Quail_BW</vt:lpstr>
      <vt:lpstr>P_OC</vt:lpstr>
      <vt:lpstr>P_PFDA</vt:lpstr>
      <vt:lpstr>BioaccumParams!Print_Area</vt:lpstr>
      <vt:lpstr>Bird1!Print_Area</vt:lpstr>
      <vt:lpstr>Bird2!Print_Area</vt:lpstr>
      <vt:lpstr>Bird3!Print_Area</vt:lpstr>
      <vt:lpstr>'Data Input &amp; FWM'!Print_Area</vt:lpstr>
      <vt:lpstr>'EF Lookup'!Print_Area</vt:lpstr>
      <vt:lpstr>EPCs!Print_Area</vt:lpstr>
      <vt:lpstr>'Exposure Factors'!Print_Area</vt:lpstr>
      <vt:lpstr>HQSum!Print_Area</vt:lpstr>
      <vt:lpstr>Introduction!Print_Area</vt:lpstr>
      <vt:lpstr>'Mam1'!Print_Area</vt:lpstr>
      <vt:lpstr>'Mam2'!Print_Area</vt:lpstr>
      <vt:lpstr>'Mam3'!Print_Area</vt:lpstr>
      <vt:lpstr>'Nagy FIR variables'!Print_Area</vt:lpstr>
      <vt:lpstr>TRVs_birds!Print_Area</vt:lpstr>
      <vt:lpstr>TRVs_mammals!Print_Area</vt:lpstr>
      <vt:lpstr>'EF Lookup'!Print_Titles</vt:lpstr>
      <vt:lpstr>EPCs!Print_Titles</vt:lpstr>
      <vt:lpstr>Pungo_White_Footed_Deermouse_BW</vt:lpstr>
      <vt:lpstr>S_NEtFOSAA</vt:lpstr>
      <vt:lpstr>S_NMeFOSAA</vt:lpstr>
      <vt:lpstr>S_PFBA</vt:lpstr>
      <vt:lpstr>S_PFBS</vt:lpstr>
      <vt:lpstr>S_PFDA</vt:lpstr>
      <vt:lpstr>S_PFDoDA</vt:lpstr>
      <vt:lpstr>S_PFDS</vt:lpstr>
      <vt:lpstr>S_PFHpA</vt:lpstr>
      <vt:lpstr>S_PFHxA</vt:lpstr>
      <vt:lpstr>S_PFHxS</vt:lpstr>
      <vt:lpstr>S_PFNA</vt:lpstr>
      <vt:lpstr>S_PFOA</vt:lpstr>
      <vt:lpstr>S_PFOS</vt:lpstr>
      <vt:lpstr>S_PFOSA</vt:lpstr>
      <vt:lpstr>S_PFPeA</vt:lpstr>
      <vt:lpstr>S_PFTeDA</vt:lpstr>
      <vt:lpstr>S_PFTrDA</vt:lpstr>
      <vt:lpstr>S_PFUnDA</vt:lpstr>
      <vt:lpstr>Short_Tailed_Shrew_BW</vt:lpstr>
      <vt:lpstr>Site</vt:lpstr>
      <vt:lpstr>surface_water</vt:lpstr>
      <vt:lpstr>Title1</vt:lpstr>
      <vt:lpstr>Title10</vt:lpstr>
      <vt:lpstr>Title11</vt:lpstr>
      <vt:lpstr>Title12</vt:lpstr>
      <vt:lpstr>Title13</vt:lpstr>
      <vt:lpstr>Title14</vt:lpstr>
      <vt:lpstr>Title2</vt:lpstr>
      <vt:lpstr>Title3</vt:lpstr>
      <vt:lpstr>Title4</vt:lpstr>
      <vt:lpstr>Title5</vt:lpstr>
      <vt:lpstr>Title6</vt:lpstr>
      <vt:lpstr>Title7</vt:lpstr>
      <vt:lpstr>Title8</vt:lpstr>
      <vt:lpstr>Title9</vt:lpstr>
      <vt:lpstr>W_NEtFOSAA</vt:lpstr>
      <vt:lpstr>W_NMeFOSAA</vt:lpstr>
      <vt:lpstr>W_PFBA</vt:lpstr>
      <vt:lpstr>W_PFBS</vt:lpstr>
      <vt:lpstr>W_PFDA</vt:lpstr>
      <vt:lpstr>W_PFDoDA</vt:lpstr>
      <vt:lpstr>W_PFDS</vt:lpstr>
      <vt:lpstr>W_PFHpA</vt:lpstr>
      <vt:lpstr>W_PFHxA</vt:lpstr>
      <vt:lpstr>W_PFHxS</vt:lpstr>
      <vt:lpstr>W_PFNA</vt:lpstr>
      <vt:lpstr>W_PFOA</vt:lpstr>
      <vt:lpstr>W_PFOS</vt:lpstr>
      <vt:lpstr>W_PFOSA</vt:lpstr>
      <vt:lpstr>W_PFPeA</vt:lpstr>
      <vt:lpstr>W_PFTeDA</vt:lpstr>
      <vt:lpstr>W_PFTrDA</vt:lpstr>
      <vt:lpstr>W_PFUnDA</vt:lpstr>
      <vt:lpstr>Western_Pocket_Gopher_BW</vt:lpstr>
      <vt:lpstr>Willow_Ptarmigan_BW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Arblaster</dc:creator>
  <cp:lastModifiedBy>Mitowski, Ellyn</cp:lastModifiedBy>
  <cp:lastPrinted>2020-10-12T22:55:00Z</cp:lastPrinted>
  <dcterms:created xsi:type="dcterms:W3CDTF">2016-05-16T15:59:47Z</dcterms:created>
  <dcterms:modified xsi:type="dcterms:W3CDTF">2021-12-16T23:55:03Z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0x010100FF6D638622362A49BB87502306C50E9B</vt:lpwstr>
  </property>
</Properties>
</file>